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бзор" sheetId="1" state="visible" r:id="rId1"/>
    <sheet name="Инструкция" sheetId="2" state="visible" r:id="rId2"/>
    <sheet name="Input" sheetId="3" state="visible" r:id="rId3"/>
    <sheet name="Сценарии" sheetId="4" state="visible" r:id="rId4"/>
    <sheet name="Выручка" sheetId="5" state="visible" r:id="rId5"/>
    <sheet name="COGS &amp; SGA" sheetId="6" state="visible" r:id="rId6"/>
    <sheet name="CAPEX &amp; D&amp;A" sheetId="7" state="visible" r:id="rId7"/>
    <sheet name="Долговое финансирование" sheetId="8" state="visible" r:id="rId8"/>
    <sheet name="Налоги" sheetId="9" state="visible" r:id="rId9"/>
    <sheet name="Баланс" sheetId="10" state="visible" r:id="rId10"/>
    <sheet name="Cash Flow" sheetId="11" state="visible" r:id="rId11"/>
    <sheet name="P&amp;L" sheetId="12" state="visible" r:id="rId12"/>
    <sheet name="Проверки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#,##0.00;(#,##0.00);&quot;-&quot;"/>
    <numFmt numFmtId="165" formatCode="0.00&quot;×&quot;"/>
    <numFmt numFmtId="166" formatCode="0.0%"/>
    <numFmt numFmtId="167" formatCode="0.0&quot;×&quot;"/>
    <numFmt numFmtId="168" formatCode="#,##0;(#,##0);&quot;-&quot;"/>
    <numFmt numFmtId="169" formatCode="0.0%;(0.0%);&quot;-&quot;"/>
    <numFmt numFmtId="170" formatCode="0.00&quot;x&quot;"/>
    <numFmt numFmtId="171" formatCode="0.0000"/>
    <numFmt numFmtId="172" formatCode="&quot;М&quot;0"/>
    <numFmt numFmtId="173" formatCode="#,##0.0&quot; млн ₽&quot;"/>
    <numFmt numFmtId="174" formatCode="#,##0.0"/>
  </numFmts>
  <fonts count="3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color rgb="00000000"/>
      <sz val="11"/>
    </font>
    <font>
      <name val="Arial"/>
      <color rgb="007F7F7F"/>
      <sz val="10"/>
    </font>
    <font>
      <name val="Arial"/>
      <color rgb="00000000"/>
      <sz val="11"/>
    </font>
    <font>
      <name val="Arial"/>
      <i val="1"/>
      <color rgb="00000000"/>
      <sz val="11"/>
    </font>
    <font>
      <name val="Arial"/>
      <b val="1"/>
      <color rgb="00FFFFFF"/>
      <sz val="10"/>
    </font>
    <font>
      <name val="Arial"/>
      <i val="1"/>
      <color rgb="007F7F7F"/>
      <sz val="11"/>
    </font>
    <font>
      <name val="Arial"/>
      <i val="1"/>
      <color rgb="007F7F7F"/>
      <sz val="10"/>
    </font>
    <font>
      <name val="Arial"/>
      <b val="1"/>
      <color rgb="00FFFFFF"/>
      <sz val="8"/>
    </font>
    <font>
      <name val="Arial"/>
      <color rgb="000070C0"/>
      <sz val="11"/>
    </font>
    <font>
      <name val="Arial"/>
      <b val="1"/>
      <color rgb="00C00000"/>
      <sz val="11"/>
    </font>
    <font>
      <name val="Arial"/>
      <b val="1"/>
      <color rgb="000070C0"/>
      <sz val="11"/>
    </font>
    <font>
      <name val="Arial"/>
      <b val="1"/>
      <i val="1"/>
      <color rgb="00000000"/>
      <sz val="11"/>
    </font>
    <font>
      <name val="Arial"/>
      <color rgb="007F7F7F"/>
      <sz val="11"/>
    </font>
    <font>
      <name val="Arial"/>
      <color rgb="007F7F7F"/>
      <sz val="9"/>
    </font>
    <font>
      <name val="Arial"/>
      <color rgb="001A1A2E"/>
      <sz val="10"/>
    </font>
    <font>
      <name val="Arial"/>
      <b val="1"/>
      <sz val="10"/>
    </font>
    <font>
      <name val="Arial"/>
      <b val="1"/>
      <color rgb="00FFFFFF"/>
      <sz val="12"/>
    </font>
    <font>
      <name val="Arial"/>
      <i val="1"/>
      <color rgb="007F7F7F"/>
      <sz val="9"/>
    </font>
    <font>
      <name val="Arial"/>
      <b val="1"/>
      <color rgb="00FFFFFF"/>
      <sz val="24"/>
    </font>
    <font>
      <name val="Arial"/>
      <i val="1"/>
      <color rgb="00B8C4D9"/>
      <sz val="11"/>
    </font>
    <font>
      <name val="Arial"/>
      <b val="1"/>
      <color rgb="001A1A2E"/>
      <sz val="20"/>
    </font>
    <font>
      <name val="Arial"/>
      <b val="1"/>
      <color rgb="00FFFFFF"/>
      <sz val="9"/>
    </font>
    <font>
      <name val="Arial"/>
      <b val="1"/>
      <sz val="9"/>
    </font>
    <font>
      <name val="Arial"/>
      <sz val="9"/>
    </font>
    <font>
      <name val="Arial"/>
      <b val="1"/>
      <sz val="12"/>
    </font>
    <font>
      <name val="Arial"/>
      <sz val="10"/>
    </font>
    <font>
      <name val="Arial"/>
      <i val="1"/>
      <color rgb="00B8C4D9"/>
      <sz val="10"/>
    </font>
  </fonts>
  <fills count="13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F3460"/>
      </patternFill>
    </fill>
    <fill>
      <patternFill patternType="solid">
        <fgColor rgb="00F5F5F5"/>
      </patternFill>
    </fill>
    <fill>
      <patternFill patternType="solid">
        <fgColor rgb="00FFFF00"/>
      </patternFill>
    </fill>
    <fill>
      <patternFill patternType="solid">
        <fgColor rgb="00E8E8E8"/>
      </patternFill>
    </fill>
    <fill>
      <patternFill patternType="solid">
        <fgColor rgb="0016213E"/>
      </patternFill>
    </fill>
    <fill>
      <patternFill patternType="solid">
        <fgColor rgb="0000A67E"/>
      </patternFill>
    </fill>
    <fill>
      <patternFill patternType="solid">
        <fgColor rgb="00FFFFFF"/>
      </patternFill>
    </fill>
    <fill>
      <patternFill patternType="solid">
        <fgColor rgb="00E2EFDA"/>
      </patternFill>
    </fill>
    <fill>
      <patternFill patternType="solid">
        <fgColor rgb="00C0392B"/>
      </patternFill>
    </fill>
    <fill>
      <patternFill patternType="solid">
        <fgColor rgb="00FFFDE7"/>
      </patternFill>
    </fill>
  </fills>
  <borders count="6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2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2" fillId="7" borderId="0" applyAlignment="1" pivotButton="0" quotePrefix="0" xfId="0">
      <alignment horizontal="left" vertical="center"/>
    </xf>
    <xf numFmtId="0" fontId="19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 indent="1"/>
    </xf>
    <xf numFmtId="173" fontId="23" fillId="9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11" borderId="0" pivotButton="0" quotePrefix="0" xfId="0"/>
    <xf numFmtId="0" fontId="20" fillId="9" borderId="0" applyAlignment="1" pivotButton="0" quotePrefix="0" xfId="0">
      <alignment horizontal="left" vertical="center" indent="1"/>
    </xf>
    <xf numFmtId="166" fontId="23" fillId="9" borderId="0" applyAlignment="1" pivotButton="0" quotePrefix="0" xfId="0">
      <alignment horizontal="left" vertical="center" indent="1"/>
    </xf>
    <xf numFmtId="0" fontId="24" fillId="7" borderId="0" applyAlignment="1" pivotButton="0" quotePrefix="0" xfId="0">
      <alignment horizontal="center" vertical="center"/>
    </xf>
    <xf numFmtId="0" fontId="25" fillId="0" borderId="0" pivotButton="0" quotePrefix="0" xfId="0"/>
    <xf numFmtId="174" fontId="0" fillId="0" borderId="0" pivotButton="0" quotePrefix="0" xfId="0"/>
    <xf numFmtId="0" fontId="26" fillId="0" borderId="0" pivotButton="0" quotePrefix="0" xfId="0"/>
    <xf numFmtId="0" fontId="18" fillId="0" borderId="0" pivotButton="0" quotePrefix="0" xfId="0"/>
    <xf numFmtId="166" fontId="27" fillId="0" borderId="0" pivotButton="0" quotePrefix="0" xfId="0"/>
    <xf numFmtId="0" fontId="27" fillId="0" borderId="0" pivotButton="0" quotePrefix="0" xfId="0"/>
    <xf numFmtId="0" fontId="7" fillId="7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left" vertical="center" indent="1"/>
    </xf>
    <xf numFmtId="174" fontId="18" fillId="6" borderId="1" applyAlignment="1" pivotButton="0" quotePrefix="0" xfId="0">
      <alignment horizontal="right" vertical="center"/>
    </xf>
    <xf numFmtId="0" fontId="28" fillId="9" borderId="1" applyAlignment="1" pivotButton="0" quotePrefix="0" xfId="0">
      <alignment horizontal="left" vertical="center" indent="1"/>
    </xf>
    <xf numFmtId="174" fontId="28" fillId="9" borderId="1" applyAlignment="1" pivotButton="0" quotePrefix="0" xfId="0">
      <alignment horizontal="right" vertical="center"/>
    </xf>
    <xf numFmtId="0" fontId="28" fillId="4" borderId="1" applyAlignment="1" pivotButton="0" quotePrefix="0" xfId="0">
      <alignment horizontal="left" vertical="center" indent="1"/>
    </xf>
    <xf numFmtId="174" fontId="28" fillId="4" borderId="1" applyAlignment="1" pivotButton="0" quotePrefix="0" xfId="0">
      <alignment horizontal="right" vertical="center"/>
    </xf>
    <xf numFmtId="173" fontId="18" fillId="9" borderId="1" applyAlignment="1" pivotButton="0" quotePrefix="0" xfId="0">
      <alignment horizontal="right" vertical="center"/>
    </xf>
    <xf numFmtId="0" fontId="0" fillId="9" borderId="1" pivotButton="0" quotePrefix="0" xfId="0"/>
    <xf numFmtId="173" fontId="18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20" fillId="4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left" vertical="center"/>
    </xf>
    <xf numFmtId="0" fontId="29" fillId="7" borderId="0" pivotButton="0" quotePrefix="0" xfId="0"/>
    <xf numFmtId="0" fontId="18" fillId="5" borderId="1" applyAlignment="1" pivotButton="0" quotePrefix="0" xfId="0">
      <alignment horizontal="left" vertical="top" wrapText="1" indent="1"/>
    </xf>
    <xf numFmtId="0" fontId="28" fillId="12" borderId="1" applyAlignment="1" pivotButton="0" quotePrefix="0" xfId="0">
      <alignment horizontal="left" vertical="top" wrapText="1"/>
    </xf>
    <xf numFmtId="0" fontId="18" fillId="4" borderId="1" applyAlignment="1" pivotButton="0" quotePrefix="0" xfId="0">
      <alignment horizontal="left" vertical="top" wrapText="1" indent="1"/>
    </xf>
    <xf numFmtId="0" fontId="28" fillId="9" borderId="1" applyAlignment="1" pivotButton="0" quotePrefix="0" xfId="0">
      <alignment horizontal="left" vertical="top" wrapText="1"/>
    </xf>
    <xf numFmtId="0" fontId="9" fillId="2" borderId="0" applyAlignment="1" pivotButton="0" quotePrefix="0" xfId="0">
      <alignment horizontal="left" vertical="center"/>
    </xf>
    <xf numFmtId="0" fontId="10" fillId="3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8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168" fontId="5" fillId="5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2" fontId="5" fillId="5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164" fontId="5" fillId="9" borderId="1" applyAlignment="1" pivotButton="0" quotePrefix="0" xfId="0">
      <alignment horizontal="right" vertical="center"/>
    </xf>
    <xf numFmtId="168" fontId="5" fillId="6" borderId="1" applyAlignment="1" pivotButton="0" quotePrefix="0" xfId="0">
      <alignment horizontal="right" vertical="center"/>
    </xf>
    <xf numFmtId="169" fontId="5" fillId="5" borderId="1" applyAlignment="1" pivotButton="0" quotePrefix="0" xfId="0">
      <alignment horizontal="right" vertical="center"/>
    </xf>
    <xf numFmtId="169" fontId="11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169" fontId="5" fillId="6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2" fillId="7" borderId="0" applyAlignment="1" pivotButton="0" quotePrefix="0" xfId="0">
      <alignment horizontal="left" vertical="center"/>
    </xf>
    <xf numFmtId="3" fontId="5" fillId="5" borderId="1" applyAlignment="1" pivotButton="0" quotePrefix="0" xfId="0">
      <alignment horizontal="right" vertical="center"/>
    </xf>
    <xf numFmtId="3" fontId="11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" fontId="5" fillId="5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left" vertical="center"/>
    </xf>
    <xf numFmtId="165" fontId="5" fillId="5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8" fontId="11" fillId="9" borderId="1" applyAlignment="1" pivotButton="0" quotePrefix="0" xfId="0">
      <alignment horizontal="right" vertical="center"/>
    </xf>
    <xf numFmtId="0" fontId="2" fillId="8" borderId="0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/>
    </xf>
    <xf numFmtId="164" fontId="12" fillId="8" borderId="1" applyAlignment="1" pivotButton="0" quotePrefix="0" xfId="0">
      <alignment horizontal="right" vertical="center"/>
    </xf>
    <xf numFmtId="169" fontId="5" fillId="4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164" fontId="11" fillId="9" borderId="1" applyAlignment="1" pivotButton="0" quotePrefix="0" xfId="0">
      <alignment horizontal="right" vertical="center"/>
    </xf>
    <xf numFmtId="164" fontId="3" fillId="9" borderId="1" applyAlignment="1" pivotButton="0" quotePrefix="0" xfId="0">
      <alignment horizontal="right" vertical="center"/>
    </xf>
    <xf numFmtId="0" fontId="14" fillId="6" borderId="1" applyAlignment="1" pivotButton="0" quotePrefix="0" xfId="0">
      <alignment horizontal="left" vertical="center"/>
    </xf>
    <xf numFmtId="164" fontId="11" fillId="4" borderId="1" applyAlignment="1" pivotButton="0" quotePrefix="0" xfId="0">
      <alignment horizontal="right" vertical="center"/>
    </xf>
    <xf numFmtId="170" fontId="3" fillId="6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9" fontId="11" fillId="4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164" fontId="3" fillId="8" borderId="1" applyAlignment="1" pivotButton="0" quotePrefix="0" xfId="0">
      <alignment horizontal="right" vertical="center"/>
    </xf>
    <xf numFmtId="0" fontId="16" fillId="6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left" vertical="center"/>
    </xf>
    <xf numFmtId="171" fontId="5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169" fontId="3" fillId="7" borderId="1" applyAlignment="1" pivotButton="0" quotePrefix="0" xfId="0">
      <alignment horizontal="right" vertical="center"/>
    </xf>
    <xf numFmtId="172" fontId="3" fillId="4" borderId="1" applyAlignment="1" pivotButton="0" quotePrefix="0" xfId="0">
      <alignment horizontal="right" vertical="center"/>
    </xf>
    <xf numFmtId="0" fontId="16" fillId="4" borderId="1" applyAlignment="1" pivotButton="0" quotePrefix="0" xfId="0">
      <alignment horizontal="left" vertical="center"/>
    </xf>
    <xf numFmtId="0" fontId="16" fillId="4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 indent="1"/>
    </xf>
    <xf numFmtId="0" fontId="17" fillId="9" borderId="1" applyAlignment="1" pivotButton="0" quotePrefix="0" xfId="0">
      <alignment horizontal="left" vertical="center" indent="1"/>
    </xf>
    <xf numFmtId="0" fontId="18" fillId="10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center" indent="1"/>
    </xf>
    <xf numFmtId="169" fontId="18" fillId="10" borderId="1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19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Выручка / EBITDA / Чистая прибыль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Выручка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'Обзор'!$C$26:$G$26</f>
            </numRef>
          </val>
        </ser>
        <ser>
          <idx val="1"/>
          <order val="1"/>
          <tx>
            <v>EBITDA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'Обзор'!$C$27:$G$27</f>
            </numRef>
          </val>
        </ser>
        <ser>
          <idx val="2"/>
          <order val="2"/>
          <tx>
            <v>Чистая прибыль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'Обзор'!$C$28:$G$28</f>
            </numRef>
          </val>
        </ser>
        <dLbls>
          <showLegendKey val="0"/>
          <showVal val="0"/>
          <showCatName val="0"/>
          <showSerNam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Net PP&amp;E / Cash / Долг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Net PP&amp;E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'Обзор'!$C$49:$G$49</f>
            </numRef>
          </val>
        </ser>
        <ser>
          <idx val="1"/>
          <order val="1"/>
          <tx>
            <v>Cash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'Обзор'!$C$50:$G$50</f>
            </numRef>
          </val>
        </ser>
        <ser>
          <idx val="2"/>
          <order val="2"/>
          <tx>
            <v>Долг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'Обзор'!$C$51:$G$51</f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Cash на конец месяца (млн ₽)</a:t>
            </a:r>
          </a:p>
        </rich>
      </tx>
    </title>
    <plotArea>
      <lineChart>
        <grouping val="standard"/>
        <ser>
          <idx val="0"/>
          <order val="0"/>
          <tx>
            <v>Cash конец месяца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'Cash Flow'!$E$4:$BL$4</f>
            </numRef>
          </cat>
          <val>
            <numRef>
              <f>'Cash Flow'!$E$25:$BL$25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29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52</row>
      <rowOff>0</rowOff>
    </from>
    <ext cx="648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</col>
      <colOff>0</colOff>
      <row>66</row>
      <rowOff>0</rowOff>
    </from>
    <ext cx="10800000" cy="252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M9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14" customWidth="1" min="3" max="3"/>
    <col width="10.5" customWidth="1" min="4" max="4"/>
    <col width="10.5" customWidth="1" min="5" max="5"/>
    <col width="10.5" customWidth="1" min="6" max="6"/>
    <col width="10.5" customWidth="1" min="7" max="7"/>
    <col width="10.5" customWidth="1" min="8" max="8"/>
    <col width="10.5" customWidth="1" min="9" max="9"/>
    <col width="10.5" customWidth="1" min="10" max="10"/>
    <col width="10.5" customWidth="1" min="11" max="11"/>
    <col width="10.5" customWidth="1" min="12" max="12"/>
    <col width="10.5" customWidth="1" min="13" max="13"/>
  </cols>
  <sheetData>
    <row r="2" ht="24" customHeight="1">
      <c r="B2" s="1" t="inlineStr">
        <is>
          <t xml:space="preserve">  БАННЫЙ КОМПЛЕКС (ДЕМО)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4" customHeight="1"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 ht="24" customHeight="1"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 ht="26" customHeight="1">
      <c r="B5" s="3" t="inlineStr">
        <is>
          <t xml:space="preserve">  Финансовая модель 5 лет  |  CYBER CFO  |  FAST Standard  |  RUB, млн ₽</t>
        </is>
      </c>
    </row>
    <row r="6" ht="10" customHeight="1"/>
    <row r="7" ht="22" customHeight="1">
      <c r="B7" s="4" t="inlineStr">
        <is>
          <t xml:space="preserve">  КЛЮЧЕВЫЕ ПОКАЗАТЕЛИ — ГОД 5</t>
        </is>
      </c>
    </row>
    <row r="8" ht="18" customHeight="1">
      <c r="B8" s="5" t="inlineStr">
        <is>
          <t>ВЫРУЧКА (Г5)</t>
        </is>
      </c>
      <c r="E8" s="5" t="inlineStr">
        <is>
          <t>EBITDA (Г5)</t>
        </is>
      </c>
      <c r="H8" s="5" t="inlineStr">
        <is>
          <t>ЧИСТАЯ ПРИБЫЛЬ (Г5)</t>
        </is>
      </c>
      <c r="K8" s="5" t="inlineStr">
        <is>
          <t>ENTERPRISE VALUE</t>
        </is>
      </c>
    </row>
    <row r="9" ht="32" customHeight="1">
      <c r="B9" s="6">
        <f>Выручка!BR30</f>
        <v/>
      </c>
      <c r="E9" s="6">
        <f>'P&amp;L'!BR17</f>
        <v/>
      </c>
      <c r="H9" s="6">
        <f>Налоги!BR17</f>
        <v/>
      </c>
      <c r="K9" s="6">
        <f>'Cash Flow'!BN40</f>
        <v/>
      </c>
    </row>
    <row r="10" ht="4" customHeight="1">
      <c r="B10" s="7" t="n"/>
      <c r="E10" s="8" t="n"/>
      <c r="H10" s="9" t="n"/>
      <c r="K10" s="10" t="n"/>
    </row>
    <row r="11" ht="16" customHeight="1">
      <c r="B11" s="11" t="inlineStr">
        <is>
          <t>Revenue, год 5</t>
        </is>
      </c>
      <c r="E11" s="11" t="inlineStr">
        <is>
          <t>EBITDA, год 5</t>
        </is>
      </c>
      <c r="H11" s="11" t="inlineStr">
        <is>
          <t>Net Income, год 5</t>
        </is>
      </c>
      <c r="K11" s="11" t="inlineStr">
        <is>
          <t>DCF, EV</t>
        </is>
      </c>
    </row>
    <row r="13" ht="18" customHeight="1">
      <c r="B13" s="5" t="inlineStr">
        <is>
          <t>EBITDA MARGIN (Г5)</t>
        </is>
      </c>
      <c r="E13" s="5" t="inlineStr">
        <is>
          <t>NET MARGIN (Г5)</t>
        </is>
      </c>
      <c r="H13" s="5" t="inlineStr">
        <is>
          <t>CAGR REVENUE (Г1→Г5)</t>
        </is>
      </c>
      <c r="K13" s="5" t="inlineStr">
        <is>
          <t>EQUITY VALUE</t>
        </is>
      </c>
    </row>
    <row r="14" ht="32" customHeight="1">
      <c r="B14" s="12">
        <f>'P&amp;L'!BR18</f>
        <v/>
      </c>
      <c r="E14" s="12">
        <f>'P&amp;L'!BR37</f>
        <v/>
      </c>
      <c r="H14" s="12">
        <f>IFERROR((Выручка!BR30/Выручка!BN30)^(1/4)-1,0)</f>
        <v/>
      </c>
      <c r="K14" s="6">
        <f>'Cash Flow'!BN44</f>
        <v/>
      </c>
    </row>
    <row r="15" ht="4" customHeight="1">
      <c r="B15" s="8" t="n"/>
      <c r="E15" s="9" t="n"/>
      <c r="H15" s="7" t="n"/>
      <c r="K15" s="10" t="n"/>
    </row>
    <row r="16" ht="16" customHeight="1">
      <c r="B16" s="11" t="inlineStr">
        <is>
          <t>EBITDA / Revenue</t>
        </is>
      </c>
      <c r="E16" s="11" t="inlineStr">
        <is>
          <t>Net Income / Revenue</t>
        </is>
      </c>
      <c r="H16" s="11" t="inlineStr">
        <is>
          <t>Среднегодовой рост выручки</t>
        </is>
      </c>
      <c r="K16" s="11" t="inlineStr">
        <is>
          <t>DCF, Equity Value</t>
        </is>
      </c>
    </row>
    <row r="17" ht="10" customHeight="1"/>
    <row r="18" ht="22" customHeight="1">
      <c r="B18" s="4" t="inlineStr">
        <is>
          <t xml:space="preserve">  ДОХОДНОСТЬ СОБСТВЕННИКА (equity: взнос → дивиденды → терминальная стоимость доли)</t>
        </is>
      </c>
    </row>
    <row r="19" ht="16" customHeight="1">
      <c r="B19" s="13" t="inlineStr"/>
      <c r="C19" s="13" t="inlineStr">
        <is>
          <t>Год 0</t>
        </is>
      </c>
      <c r="D19" s="13" t="inlineStr">
        <is>
          <t>Год 1</t>
        </is>
      </c>
      <c r="E19" s="13" t="inlineStr">
        <is>
          <t>Год 2</t>
        </is>
      </c>
      <c r="F19" s="13" t="inlineStr">
        <is>
          <t>Год 3</t>
        </is>
      </c>
      <c r="G19" s="13" t="inlineStr">
        <is>
          <t>Год 4</t>
        </is>
      </c>
      <c r="H19" s="13" t="inlineStr">
        <is>
          <t>Год 5</t>
        </is>
      </c>
    </row>
    <row r="20" ht="16" customHeight="1">
      <c r="B20" s="14" t="inlineStr">
        <is>
          <t>Equity-поток, млн ₽</t>
        </is>
      </c>
      <c r="C20" s="15">
        <f>-Input!$BN$82</f>
        <v/>
      </c>
      <c r="D20" s="15" t="n">
        <v>0</v>
      </c>
      <c r="E20" s="15" t="n">
        <v>0</v>
      </c>
      <c r="F20" s="15" t="n">
        <v>0</v>
      </c>
      <c r="G20" s="15" t="n">
        <v>0</v>
      </c>
      <c r="H20" s="15">
        <f>'Cash Flow'!$BN$38+'Cash Flow'!$BL$25-'Долговое финансирование'!$BL$12-'Долговое финансирование'!$BL$24</f>
        <v/>
      </c>
    </row>
    <row r="21" ht="16" customHeight="1">
      <c r="B21" s="16" t="inlineStr">
        <is>
          <t>Кумулятивный FCF, млн ₽</t>
        </is>
      </c>
      <c r="C21" t="inlineStr">
        <is>
          <t>—</t>
        </is>
      </c>
      <c r="D21" s="15">
        <f>'Cash Flow'!BN33</f>
        <v/>
      </c>
      <c r="E21" s="15">
        <f>D21+'Cash Flow'!BO33</f>
        <v/>
      </c>
      <c r="F21" s="15">
        <f>E21+'Cash Flow'!BP33</f>
        <v/>
      </c>
      <c r="G21" s="15">
        <f>F21+'Cash Flow'!BQ33</f>
        <v/>
      </c>
      <c r="H21" s="15">
        <f>G21+'Cash Flow'!BR33</f>
        <v/>
      </c>
    </row>
    <row r="22" ht="20" customHeight="1">
      <c r="B22" s="17" t="inlineStr">
        <is>
          <t>IRR по equity (5 лет + терминал)</t>
        </is>
      </c>
      <c r="D22" s="18">
        <f>IFERROR(IRR(C20:H20),"н/п")</f>
        <v/>
      </c>
      <c r="F22" s="17" t="inlineStr">
        <is>
          <t>Payback по FCF vs взнос, лет</t>
        </is>
      </c>
      <c r="H22" s="19">
        <f>IF(SUMPRODUCT(--(D21:H21&lt;Input!$BN$82))&gt;=5,"&gt; 5 лет",SUMPRODUCT(--(D21:H21&lt;Input!$BN$82))+1)</f>
        <v/>
      </c>
    </row>
    <row r="24" ht="22" customHeight="1">
      <c r="B24" s="4" t="inlineStr">
        <is>
          <t xml:space="preserve">  ДИНАМИКА: ВЫРУЧКА / EBITDA / ЧИСТАЯ ПРИБЫЛЬ, Г1-Г5</t>
        </is>
      </c>
    </row>
    <row r="25" ht="18" customHeight="1">
      <c r="B25" s="13" t="inlineStr"/>
      <c r="C25" s="13" t="inlineStr">
        <is>
          <t>Год 1</t>
        </is>
      </c>
      <c r="D25" s="13" t="inlineStr">
        <is>
          <t>Год 2</t>
        </is>
      </c>
      <c r="E25" s="13" t="inlineStr">
        <is>
          <t>Год 3</t>
        </is>
      </c>
      <c r="F25" s="13" t="inlineStr">
        <is>
          <t>Год 4</t>
        </is>
      </c>
      <c r="G25" s="13" t="inlineStr">
        <is>
          <t>Год 5</t>
        </is>
      </c>
    </row>
    <row r="26" ht="16" customHeight="1">
      <c r="B26" s="14" t="inlineStr">
        <is>
          <t>Выручка</t>
        </is>
      </c>
      <c r="C26" s="15">
        <f>Выручка!BN30</f>
        <v/>
      </c>
      <c r="D26" s="15">
        <f>Выручка!BO30</f>
        <v/>
      </c>
      <c r="E26" s="15">
        <f>Выручка!BP30</f>
        <v/>
      </c>
      <c r="F26" s="15">
        <f>Выручка!BQ30</f>
        <v/>
      </c>
      <c r="G26" s="15">
        <f>Выручка!BR30</f>
        <v/>
      </c>
    </row>
    <row r="27" ht="16" customHeight="1">
      <c r="B27" s="14" t="inlineStr">
        <is>
          <t>EBITDA</t>
        </is>
      </c>
      <c r="C27" s="15">
        <f>'P&amp;L'!BN17</f>
        <v/>
      </c>
      <c r="D27" s="15">
        <f>'P&amp;L'!BO17</f>
        <v/>
      </c>
      <c r="E27" s="15">
        <f>'P&amp;L'!BP17</f>
        <v/>
      </c>
      <c r="F27" s="15">
        <f>'P&amp;L'!BQ17</f>
        <v/>
      </c>
      <c r="G27" s="15">
        <f>'P&amp;L'!BR17</f>
        <v/>
      </c>
    </row>
    <row r="28" ht="16" customHeight="1">
      <c r="B28" s="14" t="inlineStr">
        <is>
          <t>Чистая прибыль</t>
        </is>
      </c>
      <c r="C28" s="15">
        <f>Налоги!BN17</f>
        <v/>
      </c>
      <c r="D28" s="15">
        <f>Налоги!BO17</f>
        <v/>
      </c>
      <c r="E28" s="15">
        <f>Налоги!BP17</f>
        <v/>
      </c>
      <c r="F28" s="15">
        <f>Налоги!BQ17</f>
        <v/>
      </c>
      <c r="G28" s="15">
        <f>Налоги!BR17</f>
        <v/>
      </c>
    </row>
    <row r="46" ht="10" customHeight="1"/>
    <row r="47" ht="22" customHeight="1">
      <c r="B47" s="4" t="inlineStr">
        <is>
          <t xml:space="preserve">  ДИНАМИКА БАЛАНСА: NET PP&amp;E / CASH / ДОЛГ, Г1-Г5</t>
        </is>
      </c>
    </row>
    <row r="48" ht="18" customHeight="1">
      <c r="B48" s="13" t="inlineStr"/>
      <c r="C48" s="13" t="inlineStr">
        <is>
          <t>Год 1</t>
        </is>
      </c>
      <c r="D48" s="13" t="inlineStr">
        <is>
          <t>Год 2</t>
        </is>
      </c>
      <c r="E48" s="13" t="inlineStr">
        <is>
          <t>Год 3</t>
        </is>
      </c>
      <c r="F48" s="13" t="inlineStr">
        <is>
          <t>Год 4</t>
        </is>
      </c>
      <c r="G48" s="13" t="inlineStr">
        <is>
          <t>Год 5</t>
        </is>
      </c>
    </row>
    <row r="49" ht="16" customHeight="1">
      <c r="B49" s="14" t="inlineStr">
        <is>
          <t>Net PP&amp;E</t>
        </is>
      </c>
      <c r="C49" s="15">
        <f>Баланс!BN6</f>
        <v/>
      </c>
      <c r="D49" s="15">
        <f>Баланс!BO6</f>
        <v/>
      </c>
      <c r="E49" s="15">
        <f>Баланс!BP6</f>
        <v/>
      </c>
      <c r="F49" s="15">
        <f>Баланс!BQ6</f>
        <v/>
      </c>
      <c r="G49" s="15">
        <f>Баланс!BR6</f>
        <v/>
      </c>
    </row>
    <row r="50" ht="16" customHeight="1">
      <c r="B50" s="14" t="inlineStr">
        <is>
          <t>Cash</t>
        </is>
      </c>
      <c r="C50" s="15">
        <f>Баланс!BN9</f>
        <v/>
      </c>
      <c r="D50" s="15">
        <f>Баланс!BO9</f>
        <v/>
      </c>
      <c r="E50" s="15">
        <f>Баланс!BP9</f>
        <v/>
      </c>
      <c r="F50" s="15">
        <f>Баланс!BQ9</f>
        <v/>
      </c>
      <c r="G50" s="15">
        <f>Баланс!BR9</f>
        <v/>
      </c>
    </row>
    <row r="51" ht="16" customHeight="1">
      <c r="B51" s="14" t="inlineStr">
        <is>
          <t>Долг</t>
        </is>
      </c>
      <c r="C51" s="15">
        <f>'Долговое финансирование'!BN12</f>
        <v/>
      </c>
      <c r="D51" s="15">
        <f>'Долговое финансирование'!BO12</f>
        <v/>
      </c>
      <c r="E51" s="15">
        <f>'Долговое финансирование'!BP12</f>
        <v/>
      </c>
      <c r="F51" s="15">
        <f>'Долговое финансирование'!BQ12</f>
        <v/>
      </c>
      <c r="G51" s="15">
        <f>'Долговое финансирование'!BR12</f>
        <v/>
      </c>
    </row>
    <row r="66" ht="22" customHeight="1">
      <c r="B66" s="4" t="inlineStr">
        <is>
          <t xml:space="preserve">  КАССА НА КОНЕЦ МЕСЯЦА (М1–М60) — кассовый разрыв виден сразу</t>
        </is>
      </c>
    </row>
    <row r="82" ht="10" customHeight="1"/>
    <row r="83" ht="22" customHeight="1">
      <c r="B83" s="4" t="inlineStr">
        <is>
          <t xml:space="preserve">  СВОДКА P&amp;L (млн ₽)</t>
        </is>
      </c>
    </row>
    <row r="84" ht="20" customHeight="1">
      <c r="B84" s="20" t="inlineStr">
        <is>
          <t>ПОКАЗАТЕЛЬ</t>
        </is>
      </c>
      <c r="C84" s="20" t="inlineStr">
        <is>
          <t>Год 1</t>
        </is>
      </c>
      <c r="D84" s="20" t="inlineStr">
        <is>
          <t>Год 2</t>
        </is>
      </c>
      <c r="E84" s="20" t="inlineStr">
        <is>
          <t>Год 3</t>
        </is>
      </c>
      <c r="F84" s="20" t="inlineStr">
        <is>
          <t>Год 4</t>
        </is>
      </c>
      <c r="G84" s="20" t="inlineStr">
        <is>
          <t>Год 5</t>
        </is>
      </c>
    </row>
    <row r="85" ht="20" customHeight="1">
      <c r="B85" s="21" t="inlineStr">
        <is>
          <t>Выручка</t>
        </is>
      </c>
      <c r="C85" s="22">
        <f>'COGS &amp; SGA'!BN30</f>
        <v/>
      </c>
      <c r="D85" s="22">
        <f>'COGS &amp; SGA'!BO30</f>
        <v/>
      </c>
      <c r="E85" s="22">
        <f>'COGS &amp; SGA'!BP30</f>
        <v/>
      </c>
      <c r="F85" s="22">
        <f>'COGS &amp; SGA'!BQ30</f>
        <v/>
      </c>
      <c r="G85" s="22">
        <f>'COGS &amp; SGA'!BR30</f>
        <v/>
      </c>
    </row>
    <row r="86" ht="20" customHeight="1">
      <c r="B86" s="23" t="inlineStr">
        <is>
          <t>Gross Profit</t>
        </is>
      </c>
      <c r="C86" s="24">
        <f>'COGS &amp; SGA'!BN18</f>
        <v/>
      </c>
      <c r="D86" s="24">
        <f>'COGS &amp; SGA'!BO18</f>
        <v/>
      </c>
      <c r="E86" s="24">
        <f>'COGS &amp; SGA'!BP18</f>
        <v/>
      </c>
      <c r="F86" s="24">
        <f>'COGS &amp; SGA'!BQ18</f>
        <v/>
      </c>
      <c r="G86" s="24">
        <f>'COGS &amp; SGA'!BR18</f>
        <v/>
      </c>
    </row>
    <row r="87" ht="20" customHeight="1">
      <c r="B87" s="21" t="inlineStr">
        <is>
          <t>EBITDA</t>
        </is>
      </c>
      <c r="C87" s="22">
        <f>'COGS &amp; SGA'!BN17</f>
        <v/>
      </c>
      <c r="D87" s="22">
        <f>'COGS &amp; SGA'!BO17</f>
        <v/>
      </c>
      <c r="E87" s="22">
        <f>'COGS &amp; SGA'!BP17</f>
        <v/>
      </c>
      <c r="F87" s="22">
        <f>'COGS &amp; SGA'!BQ17</f>
        <v/>
      </c>
      <c r="G87" s="22">
        <f>'COGS &amp; SGA'!BR17</f>
        <v/>
      </c>
    </row>
    <row r="88" ht="20" customHeight="1">
      <c r="B88" s="23" t="inlineStr">
        <is>
          <t>EBIT</t>
        </is>
      </c>
      <c r="C88" s="24">
        <f>'CAPEX &amp; D&amp;A'!BN30</f>
        <v/>
      </c>
      <c r="D88" s="24">
        <f>'CAPEX &amp; D&amp;A'!BO30</f>
        <v/>
      </c>
      <c r="E88" s="24">
        <f>'CAPEX &amp; D&amp;A'!BP30</f>
        <v/>
      </c>
      <c r="F88" s="24">
        <f>'CAPEX &amp; D&amp;A'!BQ30</f>
        <v/>
      </c>
      <c r="G88" s="24">
        <f>'CAPEX &amp; D&amp;A'!BR30</f>
        <v/>
      </c>
    </row>
    <row r="89" ht="20" customHeight="1">
      <c r="B89" s="25" t="inlineStr">
        <is>
          <t>EBT</t>
        </is>
      </c>
      <c r="C89" s="26">
        <f>'Налоги'!BN11</f>
        <v/>
      </c>
      <c r="D89" s="26">
        <f>'Налоги'!BO11</f>
        <v/>
      </c>
      <c r="E89" s="26">
        <f>'Налоги'!BP11</f>
        <v/>
      </c>
      <c r="F89" s="26">
        <f>'Налоги'!BQ11</f>
        <v/>
      </c>
      <c r="G89" s="26">
        <f>'Налоги'!BR11</f>
        <v/>
      </c>
    </row>
    <row r="90" ht="20" customHeight="1">
      <c r="B90" s="21" t="inlineStr">
        <is>
          <t>Net Income</t>
        </is>
      </c>
      <c r="C90" s="22">
        <f>'Налоги'!BN17</f>
        <v/>
      </c>
      <c r="D90" s="22">
        <f>'Налоги'!BO17</f>
        <v/>
      </c>
      <c r="E90" s="22">
        <f>'Налоги'!BP17</f>
        <v/>
      </c>
      <c r="F90" s="22">
        <f>'Налоги'!BQ17</f>
        <v/>
      </c>
      <c r="G90" s="22">
        <f>'Налоги'!BR17</f>
        <v/>
      </c>
    </row>
    <row r="92" ht="22" customHeight="1">
      <c r="B92" s="4" t="inlineStr">
        <is>
          <t xml:space="preserve">  ОЦЕНКА (DCF)</t>
        </is>
      </c>
    </row>
    <row r="93" ht="20" customHeight="1">
      <c r="B93" s="23" t="inlineStr">
        <is>
          <t>Enterprise Value</t>
        </is>
      </c>
      <c r="C93" s="27">
        <f>'Cash Flow'!BN40</f>
        <v/>
      </c>
      <c r="D93" s="28" t="n"/>
      <c r="E93" s="28" t="n"/>
      <c r="F93" s="28" t="n"/>
      <c r="G93" s="28" t="n"/>
    </row>
    <row r="94" ht="20" customHeight="1">
      <c r="B94" s="21" t="inlineStr">
        <is>
          <t>Equity Value</t>
        </is>
      </c>
      <c r="C94" s="29">
        <f>'Cash Flow'!BN44</f>
        <v/>
      </c>
      <c r="D94" s="30" t="n"/>
      <c r="E94" s="30" t="n"/>
      <c r="F94" s="30" t="n"/>
      <c r="G94" s="30" t="n"/>
    </row>
    <row r="96" ht="20" customHeight="1">
      <c r="B96" s="31" t="inlineStr">
        <is>
          <t xml:space="preserve">  Все значения — формулы, ссылающиеся на расчётные листы. Изменения в Input автоматически пересчитывают весь дашборд.</t>
        </is>
      </c>
    </row>
  </sheetData>
  <mergeCells count="42">
    <mergeCell ref="B11:D11"/>
    <mergeCell ref="E10:G10"/>
    <mergeCell ref="B14:D14"/>
    <mergeCell ref="E13:G13"/>
    <mergeCell ref="B2:M4"/>
    <mergeCell ref="B8:D8"/>
    <mergeCell ref="B13:D13"/>
    <mergeCell ref="E9:G9"/>
    <mergeCell ref="E15:G15"/>
    <mergeCell ref="H11:J11"/>
    <mergeCell ref="B10:D10"/>
    <mergeCell ref="H16:J16"/>
    <mergeCell ref="K8:M8"/>
    <mergeCell ref="E11:G11"/>
    <mergeCell ref="H13:J13"/>
    <mergeCell ref="K14:M14"/>
    <mergeCell ref="B9:D9"/>
    <mergeCell ref="B15:D15"/>
    <mergeCell ref="B92:M92"/>
    <mergeCell ref="B83:M83"/>
    <mergeCell ref="E16:G16"/>
    <mergeCell ref="H15:J15"/>
    <mergeCell ref="B24:M24"/>
    <mergeCell ref="K10:M10"/>
    <mergeCell ref="B5:M5"/>
    <mergeCell ref="H14:J14"/>
    <mergeCell ref="K13:M13"/>
    <mergeCell ref="H8:J8"/>
    <mergeCell ref="K16:M16"/>
    <mergeCell ref="B16:D16"/>
    <mergeCell ref="K15:M15"/>
    <mergeCell ref="B47:M47"/>
    <mergeCell ref="H10:J10"/>
    <mergeCell ref="B7:M7"/>
    <mergeCell ref="E14:G14"/>
    <mergeCell ref="K9:M9"/>
    <mergeCell ref="E8:G8"/>
    <mergeCell ref="B66:M66"/>
    <mergeCell ref="H9:J9"/>
    <mergeCell ref="B18:M18"/>
    <mergeCell ref="B96:M96"/>
    <mergeCell ref="K11:M1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0"/>
    <pageSetUpPr/>
  </sheetPr>
  <dimension ref="A1:BR28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BALANCE SHEET (помесячно) | АКТИВЫ = ПАССИВЫ</t>
        </is>
      </c>
    </row>
    <row r="2" ht="18" customHeight="1">
      <c r="A2" s="38" t="inlineStr">
        <is>
          <t xml:space="preserve">  🟡 DSO/DIO/DPO — Input | ⚫ AR/Inv/AP от Rev/COGS | 🔴 Cash — плаг | годовые = декабрь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АКТИВЫ (ASSETS)</t>
        </is>
      </c>
    </row>
    <row r="6">
      <c r="A6" s="51" t="inlineStr">
        <is>
          <t xml:space="preserve">    Net PP&amp;E (из CAPEX &amp; D&amp;A)</t>
        </is>
      </c>
      <c r="B6" s="52" t="inlineStr">
        <is>
          <t>млн ₽</t>
        </is>
      </c>
      <c r="C6" s="48" t="inlineStr">
        <is>
          <t>—</t>
        </is>
      </c>
      <c r="D6" s="45" t="inlineStr"/>
      <c r="E6" s="67">
        <f>'CAPEX &amp; D&amp;A'!E26</f>
        <v/>
      </c>
      <c r="F6" s="67">
        <f>'CAPEX &amp; D&amp;A'!F26</f>
        <v/>
      </c>
      <c r="G6" s="67">
        <f>'CAPEX &amp; D&amp;A'!G26</f>
        <v/>
      </c>
      <c r="H6" s="67">
        <f>'CAPEX &amp; D&amp;A'!H26</f>
        <v/>
      </c>
      <c r="I6" s="67">
        <f>'CAPEX &amp; D&amp;A'!I26</f>
        <v/>
      </c>
      <c r="J6" s="67">
        <f>'CAPEX &amp; D&amp;A'!J26</f>
        <v/>
      </c>
      <c r="K6" s="67">
        <f>'CAPEX &amp; D&amp;A'!K26</f>
        <v/>
      </c>
      <c r="L6" s="67">
        <f>'CAPEX &amp; D&amp;A'!L26</f>
        <v/>
      </c>
      <c r="M6" s="67">
        <f>'CAPEX &amp; D&amp;A'!M26</f>
        <v/>
      </c>
      <c r="N6" s="67">
        <f>'CAPEX &amp; D&amp;A'!N26</f>
        <v/>
      </c>
      <c r="O6" s="67">
        <f>'CAPEX &amp; D&amp;A'!O26</f>
        <v/>
      </c>
      <c r="P6" s="67">
        <f>'CAPEX &amp; D&amp;A'!P26</f>
        <v/>
      </c>
      <c r="Q6" s="67">
        <f>'CAPEX &amp; D&amp;A'!Q26</f>
        <v/>
      </c>
      <c r="R6" s="67">
        <f>'CAPEX &amp; D&amp;A'!R26</f>
        <v/>
      </c>
      <c r="S6" s="67">
        <f>'CAPEX &amp; D&amp;A'!S26</f>
        <v/>
      </c>
      <c r="T6" s="67">
        <f>'CAPEX &amp; D&amp;A'!T26</f>
        <v/>
      </c>
      <c r="U6" s="67">
        <f>'CAPEX &amp; D&amp;A'!U26</f>
        <v/>
      </c>
      <c r="V6" s="67">
        <f>'CAPEX &amp; D&amp;A'!V26</f>
        <v/>
      </c>
      <c r="W6" s="67">
        <f>'CAPEX &amp; D&amp;A'!W26</f>
        <v/>
      </c>
      <c r="X6" s="67">
        <f>'CAPEX &amp; D&amp;A'!X26</f>
        <v/>
      </c>
      <c r="Y6" s="67">
        <f>'CAPEX &amp; D&amp;A'!Y26</f>
        <v/>
      </c>
      <c r="Z6" s="67">
        <f>'CAPEX &amp; D&amp;A'!Z26</f>
        <v/>
      </c>
      <c r="AA6" s="67">
        <f>'CAPEX &amp; D&amp;A'!AA26</f>
        <v/>
      </c>
      <c r="AB6" s="67">
        <f>'CAPEX &amp; D&amp;A'!AB26</f>
        <v/>
      </c>
      <c r="AC6" s="67">
        <f>'CAPEX &amp; D&amp;A'!AC26</f>
        <v/>
      </c>
      <c r="AD6" s="67">
        <f>'CAPEX &amp; D&amp;A'!AD26</f>
        <v/>
      </c>
      <c r="AE6" s="67">
        <f>'CAPEX &amp; D&amp;A'!AE26</f>
        <v/>
      </c>
      <c r="AF6" s="67">
        <f>'CAPEX &amp; D&amp;A'!AF26</f>
        <v/>
      </c>
      <c r="AG6" s="67">
        <f>'CAPEX &amp; D&amp;A'!AG26</f>
        <v/>
      </c>
      <c r="AH6" s="67">
        <f>'CAPEX &amp; D&amp;A'!AH26</f>
        <v/>
      </c>
      <c r="AI6" s="67">
        <f>'CAPEX &amp; D&amp;A'!AI26</f>
        <v/>
      </c>
      <c r="AJ6" s="67">
        <f>'CAPEX &amp; D&amp;A'!AJ26</f>
        <v/>
      </c>
      <c r="AK6" s="67">
        <f>'CAPEX &amp; D&amp;A'!AK26</f>
        <v/>
      </c>
      <c r="AL6" s="67">
        <f>'CAPEX &amp; D&amp;A'!AL26</f>
        <v/>
      </c>
      <c r="AM6" s="67">
        <f>'CAPEX &amp; D&amp;A'!AM26</f>
        <v/>
      </c>
      <c r="AN6" s="67">
        <f>'CAPEX &amp; D&amp;A'!AN26</f>
        <v/>
      </c>
      <c r="AO6" s="67">
        <f>'CAPEX &amp; D&amp;A'!AO26</f>
        <v/>
      </c>
      <c r="AP6" s="67">
        <f>'CAPEX &amp; D&amp;A'!AP26</f>
        <v/>
      </c>
      <c r="AQ6" s="67">
        <f>'CAPEX &amp; D&amp;A'!AQ26</f>
        <v/>
      </c>
      <c r="AR6" s="67">
        <f>'CAPEX &amp; D&amp;A'!AR26</f>
        <v/>
      </c>
      <c r="AS6" s="67">
        <f>'CAPEX &amp; D&amp;A'!AS26</f>
        <v/>
      </c>
      <c r="AT6" s="67">
        <f>'CAPEX &amp; D&amp;A'!AT26</f>
        <v/>
      </c>
      <c r="AU6" s="67">
        <f>'CAPEX &amp; D&amp;A'!AU26</f>
        <v/>
      </c>
      <c r="AV6" s="67">
        <f>'CAPEX &amp; D&amp;A'!AV26</f>
        <v/>
      </c>
      <c r="AW6" s="67">
        <f>'CAPEX &amp; D&amp;A'!AW26</f>
        <v/>
      </c>
      <c r="AX6" s="67">
        <f>'CAPEX &amp; D&amp;A'!AX26</f>
        <v/>
      </c>
      <c r="AY6" s="67">
        <f>'CAPEX &amp; D&amp;A'!AY26</f>
        <v/>
      </c>
      <c r="AZ6" s="67">
        <f>'CAPEX &amp; D&amp;A'!AZ26</f>
        <v/>
      </c>
      <c r="BA6" s="67">
        <f>'CAPEX &amp; D&amp;A'!BA26</f>
        <v/>
      </c>
      <c r="BB6" s="67">
        <f>'CAPEX &amp; D&amp;A'!BB26</f>
        <v/>
      </c>
      <c r="BC6" s="67">
        <f>'CAPEX &amp; D&amp;A'!BC26</f>
        <v/>
      </c>
      <c r="BD6" s="67">
        <f>'CAPEX &amp; D&amp;A'!BD26</f>
        <v/>
      </c>
      <c r="BE6" s="67">
        <f>'CAPEX &amp; D&amp;A'!BE26</f>
        <v/>
      </c>
      <c r="BF6" s="67">
        <f>'CAPEX &amp; D&amp;A'!BF26</f>
        <v/>
      </c>
      <c r="BG6" s="67">
        <f>'CAPEX &amp; D&amp;A'!BG26</f>
        <v/>
      </c>
      <c r="BH6" s="67">
        <f>'CAPEX &amp; D&amp;A'!BH26</f>
        <v/>
      </c>
      <c r="BI6" s="67">
        <f>'CAPEX &amp; D&amp;A'!BI26</f>
        <v/>
      </c>
      <c r="BJ6" s="67">
        <f>'CAPEX &amp; D&amp;A'!BJ26</f>
        <v/>
      </c>
      <c r="BK6" s="67">
        <f>'CAPEX &amp; D&amp;A'!BK26</f>
        <v/>
      </c>
      <c r="BL6" s="67">
        <f>'CAPEX &amp; D&amp;A'!BL26</f>
        <v/>
      </c>
      <c r="BN6" s="67">
        <f>P6</f>
        <v/>
      </c>
      <c r="BO6" s="67">
        <f>AB6</f>
        <v/>
      </c>
      <c r="BP6" s="67">
        <f>AN6</f>
        <v/>
      </c>
      <c r="BQ6" s="67">
        <f>AZ6</f>
        <v/>
      </c>
      <c r="BR6" s="67">
        <f>BL6</f>
        <v/>
      </c>
    </row>
    <row r="7">
      <c r="A7" s="93" t="inlineStr">
        <is>
          <t xml:space="preserve">    Inventory = COGS × 12 × DIO/365</t>
        </is>
      </c>
      <c r="B7" s="94" t="inlineStr">
        <is>
          <t>млн ₽</t>
        </is>
      </c>
      <c r="C7" s="48" t="inlineStr">
        <is>
          <t>—</t>
        </is>
      </c>
      <c r="D7" s="45" t="inlineStr"/>
      <c r="E7" s="53">
        <f>'COGS &amp; SGA'!E15*12*Input!BN95/365</f>
        <v/>
      </c>
      <c r="F7" s="53">
        <f>'COGS &amp; SGA'!F15*12*Input!BN95/365</f>
        <v/>
      </c>
      <c r="G7" s="53">
        <f>'COGS &amp; SGA'!G15*12*Input!BN95/365</f>
        <v/>
      </c>
      <c r="H7" s="53">
        <f>'COGS &amp; SGA'!H15*12*Input!BN95/365</f>
        <v/>
      </c>
      <c r="I7" s="53">
        <f>'COGS &amp; SGA'!I15*12*Input!BN95/365</f>
        <v/>
      </c>
      <c r="J7" s="53">
        <f>'COGS &amp; SGA'!J15*12*Input!BN95/365</f>
        <v/>
      </c>
      <c r="K7" s="53">
        <f>'COGS &amp; SGA'!K15*12*Input!BN95/365</f>
        <v/>
      </c>
      <c r="L7" s="53">
        <f>'COGS &amp; SGA'!L15*12*Input!BN95/365</f>
        <v/>
      </c>
      <c r="M7" s="53">
        <f>'COGS &amp; SGA'!M15*12*Input!BN95/365</f>
        <v/>
      </c>
      <c r="N7" s="53">
        <f>'COGS &amp; SGA'!N15*12*Input!BN95/365</f>
        <v/>
      </c>
      <c r="O7" s="53">
        <f>'COGS &amp; SGA'!O15*12*Input!BN95/365</f>
        <v/>
      </c>
      <c r="P7" s="53">
        <f>'COGS &amp; SGA'!P15*12*Input!BN95/365</f>
        <v/>
      </c>
      <c r="Q7" s="53">
        <f>'COGS &amp; SGA'!Q15*12*Input!BN95/365</f>
        <v/>
      </c>
      <c r="R7" s="53">
        <f>'COGS &amp; SGA'!R15*12*Input!BN95/365</f>
        <v/>
      </c>
      <c r="S7" s="53">
        <f>'COGS &amp; SGA'!S15*12*Input!BN95/365</f>
        <v/>
      </c>
      <c r="T7" s="53">
        <f>'COGS &amp; SGA'!T15*12*Input!BN95/365</f>
        <v/>
      </c>
      <c r="U7" s="53">
        <f>'COGS &amp; SGA'!U15*12*Input!BN95/365</f>
        <v/>
      </c>
      <c r="V7" s="53">
        <f>'COGS &amp; SGA'!V15*12*Input!BN95/365</f>
        <v/>
      </c>
      <c r="W7" s="53">
        <f>'COGS &amp; SGA'!W15*12*Input!BN95/365</f>
        <v/>
      </c>
      <c r="X7" s="53">
        <f>'COGS &amp; SGA'!X15*12*Input!BN95/365</f>
        <v/>
      </c>
      <c r="Y7" s="53">
        <f>'COGS &amp; SGA'!Y15*12*Input!BN95/365</f>
        <v/>
      </c>
      <c r="Z7" s="53">
        <f>'COGS &amp; SGA'!Z15*12*Input!BN95/365</f>
        <v/>
      </c>
      <c r="AA7" s="53">
        <f>'COGS &amp; SGA'!AA15*12*Input!BN95/365</f>
        <v/>
      </c>
      <c r="AB7" s="53">
        <f>'COGS &amp; SGA'!AB15*12*Input!BN95/365</f>
        <v/>
      </c>
      <c r="AC7" s="53">
        <f>'COGS &amp; SGA'!AC15*12*Input!BN95/365</f>
        <v/>
      </c>
      <c r="AD7" s="53">
        <f>'COGS &amp; SGA'!AD15*12*Input!BN95/365</f>
        <v/>
      </c>
      <c r="AE7" s="53">
        <f>'COGS &amp; SGA'!AE15*12*Input!BN95/365</f>
        <v/>
      </c>
      <c r="AF7" s="53">
        <f>'COGS &amp; SGA'!AF15*12*Input!BN95/365</f>
        <v/>
      </c>
      <c r="AG7" s="53">
        <f>'COGS &amp; SGA'!AG15*12*Input!BN95/365</f>
        <v/>
      </c>
      <c r="AH7" s="53">
        <f>'COGS &amp; SGA'!AH15*12*Input!BN95/365</f>
        <v/>
      </c>
      <c r="AI7" s="53">
        <f>'COGS &amp; SGA'!AI15*12*Input!BN95/365</f>
        <v/>
      </c>
      <c r="AJ7" s="53">
        <f>'COGS &amp; SGA'!AJ15*12*Input!BN95/365</f>
        <v/>
      </c>
      <c r="AK7" s="53">
        <f>'COGS &amp; SGA'!AK15*12*Input!BN95/365</f>
        <v/>
      </c>
      <c r="AL7" s="53">
        <f>'COGS &amp; SGA'!AL15*12*Input!BN95/365</f>
        <v/>
      </c>
      <c r="AM7" s="53">
        <f>'COGS &amp; SGA'!AM15*12*Input!BN95/365</f>
        <v/>
      </c>
      <c r="AN7" s="53">
        <f>'COGS &amp; SGA'!AN15*12*Input!BN95/365</f>
        <v/>
      </c>
      <c r="AO7" s="53">
        <f>'COGS &amp; SGA'!AO15*12*Input!BN95/365</f>
        <v/>
      </c>
      <c r="AP7" s="53">
        <f>'COGS &amp; SGA'!AP15*12*Input!BN95/365</f>
        <v/>
      </c>
      <c r="AQ7" s="53">
        <f>'COGS &amp; SGA'!AQ15*12*Input!BN95/365</f>
        <v/>
      </c>
      <c r="AR7" s="53">
        <f>'COGS &amp; SGA'!AR15*12*Input!BN95/365</f>
        <v/>
      </c>
      <c r="AS7" s="53">
        <f>'COGS &amp; SGA'!AS15*12*Input!BN95/365</f>
        <v/>
      </c>
      <c r="AT7" s="53">
        <f>'COGS &amp; SGA'!AT15*12*Input!BN95/365</f>
        <v/>
      </c>
      <c r="AU7" s="53">
        <f>'COGS &amp; SGA'!AU15*12*Input!BN95/365</f>
        <v/>
      </c>
      <c r="AV7" s="53">
        <f>'COGS &amp; SGA'!AV15*12*Input!BN95/365</f>
        <v/>
      </c>
      <c r="AW7" s="53">
        <f>'COGS &amp; SGA'!AW15*12*Input!BN95/365</f>
        <v/>
      </c>
      <c r="AX7" s="53">
        <f>'COGS &amp; SGA'!AX15*12*Input!BN95/365</f>
        <v/>
      </c>
      <c r="AY7" s="53">
        <f>'COGS &amp; SGA'!AY15*12*Input!BN95/365</f>
        <v/>
      </c>
      <c r="AZ7" s="53">
        <f>'COGS &amp; SGA'!AZ15*12*Input!BN95/365</f>
        <v/>
      </c>
      <c r="BA7" s="53">
        <f>'COGS &amp; SGA'!BA15*12*Input!BN95/365</f>
        <v/>
      </c>
      <c r="BB7" s="53">
        <f>'COGS &amp; SGA'!BB15*12*Input!BN95/365</f>
        <v/>
      </c>
      <c r="BC7" s="53">
        <f>'COGS &amp; SGA'!BC15*12*Input!BN95/365</f>
        <v/>
      </c>
      <c r="BD7" s="53">
        <f>'COGS &amp; SGA'!BD15*12*Input!BN95/365</f>
        <v/>
      </c>
      <c r="BE7" s="53">
        <f>'COGS &amp; SGA'!BE15*12*Input!BN95/365</f>
        <v/>
      </c>
      <c r="BF7" s="53">
        <f>'COGS &amp; SGA'!BF15*12*Input!BN95/365</f>
        <v/>
      </c>
      <c r="BG7" s="53">
        <f>'COGS &amp; SGA'!BG15*12*Input!BN95/365</f>
        <v/>
      </c>
      <c r="BH7" s="53">
        <f>'COGS &amp; SGA'!BH15*12*Input!BN95/365</f>
        <v/>
      </c>
      <c r="BI7" s="53">
        <f>'COGS &amp; SGA'!BI15*12*Input!BN95/365</f>
        <v/>
      </c>
      <c r="BJ7" s="53">
        <f>'COGS &amp; SGA'!BJ15*12*Input!BN95/365</f>
        <v/>
      </c>
      <c r="BK7" s="53">
        <f>'COGS &amp; SGA'!BK15*12*Input!BN95/365</f>
        <v/>
      </c>
      <c r="BL7" s="53">
        <f>'COGS &amp; SGA'!BL15*12*Input!BN95/365</f>
        <v/>
      </c>
      <c r="BN7" s="53">
        <f>P7</f>
        <v/>
      </c>
      <c r="BO7" s="53">
        <f>AB7</f>
        <v/>
      </c>
      <c r="BP7" s="53">
        <f>AN7</f>
        <v/>
      </c>
      <c r="BQ7" s="53">
        <f>AZ7</f>
        <v/>
      </c>
      <c r="BR7" s="53">
        <f>BL7</f>
        <v/>
      </c>
    </row>
    <row r="8">
      <c r="A8" s="93" t="inlineStr">
        <is>
          <t xml:space="preserve">    AR = Выручка × 12 × DSO/365</t>
        </is>
      </c>
      <c r="B8" s="94" t="inlineStr">
        <is>
          <t>млн ₽</t>
        </is>
      </c>
      <c r="C8" s="48" t="inlineStr">
        <is>
          <t>—</t>
        </is>
      </c>
      <c r="D8" s="45" t="inlineStr"/>
      <c r="E8" s="53">
        <f>'COGS &amp; SGA'!E6*12*Input!BN94/365</f>
        <v/>
      </c>
      <c r="F8" s="53">
        <f>'COGS &amp; SGA'!F6*12*Input!BN94/365</f>
        <v/>
      </c>
      <c r="G8" s="53">
        <f>'COGS &amp; SGA'!G6*12*Input!BN94/365</f>
        <v/>
      </c>
      <c r="H8" s="53">
        <f>'COGS &amp; SGA'!H6*12*Input!BN94/365</f>
        <v/>
      </c>
      <c r="I8" s="53">
        <f>'COGS &amp; SGA'!I6*12*Input!BN94/365</f>
        <v/>
      </c>
      <c r="J8" s="53">
        <f>'COGS &amp; SGA'!J6*12*Input!BN94/365</f>
        <v/>
      </c>
      <c r="K8" s="53">
        <f>'COGS &amp; SGA'!K6*12*Input!BN94/365</f>
        <v/>
      </c>
      <c r="L8" s="53">
        <f>'COGS &amp; SGA'!L6*12*Input!BN94/365</f>
        <v/>
      </c>
      <c r="M8" s="53">
        <f>'COGS &amp; SGA'!M6*12*Input!BN94/365</f>
        <v/>
      </c>
      <c r="N8" s="53">
        <f>'COGS &amp; SGA'!N6*12*Input!BN94/365</f>
        <v/>
      </c>
      <c r="O8" s="53">
        <f>'COGS &amp; SGA'!O6*12*Input!BN94/365</f>
        <v/>
      </c>
      <c r="P8" s="53">
        <f>'COGS &amp; SGA'!P6*12*Input!BN94/365</f>
        <v/>
      </c>
      <c r="Q8" s="53">
        <f>'COGS &amp; SGA'!Q6*12*Input!BN94/365</f>
        <v/>
      </c>
      <c r="R8" s="53">
        <f>'COGS &amp; SGA'!R6*12*Input!BN94/365</f>
        <v/>
      </c>
      <c r="S8" s="53">
        <f>'COGS &amp; SGA'!S6*12*Input!BN94/365</f>
        <v/>
      </c>
      <c r="T8" s="53">
        <f>'COGS &amp; SGA'!T6*12*Input!BN94/365</f>
        <v/>
      </c>
      <c r="U8" s="53">
        <f>'COGS &amp; SGA'!U6*12*Input!BN94/365</f>
        <v/>
      </c>
      <c r="V8" s="53">
        <f>'COGS &amp; SGA'!V6*12*Input!BN94/365</f>
        <v/>
      </c>
      <c r="W8" s="53">
        <f>'COGS &amp; SGA'!W6*12*Input!BN94/365</f>
        <v/>
      </c>
      <c r="X8" s="53">
        <f>'COGS &amp; SGA'!X6*12*Input!BN94/365</f>
        <v/>
      </c>
      <c r="Y8" s="53">
        <f>'COGS &amp; SGA'!Y6*12*Input!BN94/365</f>
        <v/>
      </c>
      <c r="Z8" s="53">
        <f>'COGS &amp; SGA'!Z6*12*Input!BN94/365</f>
        <v/>
      </c>
      <c r="AA8" s="53">
        <f>'COGS &amp; SGA'!AA6*12*Input!BN94/365</f>
        <v/>
      </c>
      <c r="AB8" s="53">
        <f>'COGS &amp; SGA'!AB6*12*Input!BN94/365</f>
        <v/>
      </c>
      <c r="AC8" s="53">
        <f>'COGS &amp; SGA'!AC6*12*Input!BN94/365</f>
        <v/>
      </c>
      <c r="AD8" s="53">
        <f>'COGS &amp; SGA'!AD6*12*Input!BN94/365</f>
        <v/>
      </c>
      <c r="AE8" s="53">
        <f>'COGS &amp; SGA'!AE6*12*Input!BN94/365</f>
        <v/>
      </c>
      <c r="AF8" s="53">
        <f>'COGS &amp; SGA'!AF6*12*Input!BN94/365</f>
        <v/>
      </c>
      <c r="AG8" s="53">
        <f>'COGS &amp; SGA'!AG6*12*Input!BN94/365</f>
        <v/>
      </c>
      <c r="AH8" s="53">
        <f>'COGS &amp; SGA'!AH6*12*Input!BN94/365</f>
        <v/>
      </c>
      <c r="AI8" s="53">
        <f>'COGS &amp; SGA'!AI6*12*Input!BN94/365</f>
        <v/>
      </c>
      <c r="AJ8" s="53">
        <f>'COGS &amp; SGA'!AJ6*12*Input!BN94/365</f>
        <v/>
      </c>
      <c r="AK8" s="53">
        <f>'COGS &amp; SGA'!AK6*12*Input!BN94/365</f>
        <v/>
      </c>
      <c r="AL8" s="53">
        <f>'COGS &amp; SGA'!AL6*12*Input!BN94/365</f>
        <v/>
      </c>
      <c r="AM8" s="53">
        <f>'COGS &amp; SGA'!AM6*12*Input!BN94/365</f>
        <v/>
      </c>
      <c r="AN8" s="53">
        <f>'COGS &amp; SGA'!AN6*12*Input!BN94/365</f>
        <v/>
      </c>
      <c r="AO8" s="53">
        <f>'COGS &amp; SGA'!AO6*12*Input!BN94/365</f>
        <v/>
      </c>
      <c r="AP8" s="53">
        <f>'COGS &amp; SGA'!AP6*12*Input!BN94/365</f>
        <v/>
      </c>
      <c r="AQ8" s="53">
        <f>'COGS &amp; SGA'!AQ6*12*Input!BN94/365</f>
        <v/>
      </c>
      <c r="AR8" s="53">
        <f>'COGS &amp; SGA'!AR6*12*Input!BN94/365</f>
        <v/>
      </c>
      <c r="AS8" s="53">
        <f>'COGS &amp; SGA'!AS6*12*Input!BN94/365</f>
        <v/>
      </c>
      <c r="AT8" s="53">
        <f>'COGS &amp; SGA'!AT6*12*Input!BN94/365</f>
        <v/>
      </c>
      <c r="AU8" s="53">
        <f>'COGS &amp; SGA'!AU6*12*Input!BN94/365</f>
        <v/>
      </c>
      <c r="AV8" s="53">
        <f>'COGS &amp; SGA'!AV6*12*Input!BN94/365</f>
        <v/>
      </c>
      <c r="AW8" s="53">
        <f>'COGS &amp; SGA'!AW6*12*Input!BN94/365</f>
        <v/>
      </c>
      <c r="AX8" s="53">
        <f>'COGS &amp; SGA'!AX6*12*Input!BN94/365</f>
        <v/>
      </c>
      <c r="AY8" s="53">
        <f>'COGS &amp; SGA'!AY6*12*Input!BN94/365</f>
        <v/>
      </c>
      <c r="AZ8" s="53">
        <f>'COGS &amp; SGA'!AZ6*12*Input!BN94/365</f>
        <v/>
      </c>
      <c r="BA8" s="53">
        <f>'COGS &amp; SGA'!BA6*12*Input!BN94/365</f>
        <v/>
      </c>
      <c r="BB8" s="53">
        <f>'COGS &amp; SGA'!BB6*12*Input!BN94/365</f>
        <v/>
      </c>
      <c r="BC8" s="53">
        <f>'COGS &amp; SGA'!BC6*12*Input!BN94/365</f>
        <v/>
      </c>
      <c r="BD8" s="53">
        <f>'COGS &amp; SGA'!BD6*12*Input!BN94/365</f>
        <v/>
      </c>
      <c r="BE8" s="53">
        <f>'COGS &amp; SGA'!BE6*12*Input!BN94/365</f>
        <v/>
      </c>
      <c r="BF8" s="53">
        <f>'COGS &amp; SGA'!BF6*12*Input!BN94/365</f>
        <v/>
      </c>
      <c r="BG8" s="53">
        <f>'COGS &amp; SGA'!BG6*12*Input!BN94/365</f>
        <v/>
      </c>
      <c r="BH8" s="53">
        <f>'COGS &amp; SGA'!BH6*12*Input!BN94/365</f>
        <v/>
      </c>
      <c r="BI8" s="53">
        <f>'COGS &amp; SGA'!BI6*12*Input!BN94/365</f>
        <v/>
      </c>
      <c r="BJ8" s="53">
        <f>'COGS &amp; SGA'!BJ6*12*Input!BN94/365</f>
        <v/>
      </c>
      <c r="BK8" s="53">
        <f>'COGS &amp; SGA'!BK6*12*Input!BN94/365</f>
        <v/>
      </c>
      <c r="BL8" s="53">
        <f>'COGS &amp; SGA'!BL6*12*Input!BN94/365</f>
        <v/>
      </c>
      <c r="BN8" s="53">
        <f>P8</f>
        <v/>
      </c>
      <c r="BO8" s="53">
        <f>AB8</f>
        <v/>
      </c>
      <c r="BP8" s="53">
        <f>AN8</f>
        <v/>
      </c>
      <c r="BQ8" s="53">
        <f>AZ8</f>
        <v/>
      </c>
      <c r="BR8" s="53">
        <f>BL8</f>
        <v/>
      </c>
    </row>
    <row r="9">
      <c r="A9" s="80" t="inlineStr">
        <is>
          <t xml:space="preserve">    Cash = ИТОГО ПАССИВЫ − (Net PP&amp;E + Inventory + AR)  [PLUG]</t>
        </is>
      </c>
      <c r="B9" s="81" t="inlineStr">
        <is>
          <t>млн ₽</t>
        </is>
      </c>
      <c r="C9" s="48" t="inlineStr">
        <is>
          <t>—</t>
        </is>
      </c>
      <c r="D9" s="45" t="inlineStr"/>
      <c r="E9" s="82">
        <f>E21-(E6+E7+E8)</f>
        <v/>
      </c>
      <c r="F9" s="82">
        <f>F21-(F6+F7+F8)</f>
        <v/>
      </c>
      <c r="G9" s="82">
        <f>G21-(G6+G7+G8)</f>
        <v/>
      </c>
      <c r="H9" s="82">
        <f>H21-(H6+H7+H8)</f>
        <v/>
      </c>
      <c r="I9" s="82">
        <f>I21-(I6+I7+I8)</f>
        <v/>
      </c>
      <c r="J9" s="82">
        <f>J21-(J6+J7+J8)</f>
        <v/>
      </c>
      <c r="K9" s="82">
        <f>K21-(K6+K7+K8)</f>
        <v/>
      </c>
      <c r="L9" s="82">
        <f>L21-(L6+L7+L8)</f>
        <v/>
      </c>
      <c r="M9" s="82">
        <f>M21-(M6+M7+M8)</f>
        <v/>
      </c>
      <c r="N9" s="82">
        <f>N21-(N6+N7+N8)</f>
        <v/>
      </c>
      <c r="O9" s="82">
        <f>O21-(O6+O7+O8)</f>
        <v/>
      </c>
      <c r="P9" s="82">
        <f>P21-(P6+P7+P8)</f>
        <v/>
      </c>
      <c r="Q9" s="82">
        <f>Q21-(Q6+Q7+Q8)</f>
        <v/>
      </c>
      <c r="R9" s="82">
        <f>R21-(R6+R7+R8)</f>
        <v/>
      </c>
      <c r="S9" s="82">
        <f>S21-(S6+S7+S8)</f>
        <v/>
      </c>
      <c r="T9" s="82">
        <f>T21-(T6+T7+T8)</f>
        <v/>
      </c>
      <c r="U9" s="82">
        <f>U21-(U6+U7+U8)</f>
        <v/>
      </c>
      <c r="V9" s="82">
        <f>V21-(V6+V7+V8)</f>
        <v/>
      </c>
      <c r="W9" s="82">
        <f>W21-(W6+W7+W8)</f>
        <v/>
      </c>
      <c r="X9" s="82">
        <f>X21-(X6+X7+X8)</f>
        <v/>
      </c>
      <c r="Y9" s="82">
        <f>Y21-(Y6+Y7+Y8)</f>
        <v/>
      </c>
      <c r="Z9" s="82">
        <f>Z21-(Z6+Z7+Z8)</f>
        <v/>
      </c>
      <c r="AA9" s="82">
        <f>AA21-(AA6+AA7+AA8)</f>
        <v/>
      </c>
      <c r="AB9" s="82">
        <f>AB21-(AB6+AB7+AB8)</f>
        <v/>
      </c>
      <c r="AC9" s="82">
        <f>AC21-(AC6+AC7+AC8)</f>
        <v/>
      </c>
      <c r="AD9" s="82">
        <f>AD21-(AD6+AD7+AD8)</f>
        <v/>
      </c>
      <c r="AE9" s="82">
        <f>AE21-(AE6+AE7+AE8)</f>
        <v/>
      </c>
      <c r="AF9" s="82">
        <f>AF21-(AF6+AF7+AF8)</f>
        <v/>
      </c>
      <c r="AG9" s="82">
        <f>AG21-(AG6+AG7+AG8)</f>
        <v/>
      </c>
      <c r="AH9" s="82">
        <f>AH21-(AH6+AH7+AH8)</f>
        <v/>
      </c>
      <c r="AI9" s="82">
        <f>AI21-(AI6+AI7+AI8)</f>
        <v/>
      </c>
      <c r="AJ9" s="82">
        <f>AJ21-(AJ6+AJ7+AJ8)</f>
        <v/>
      </c>
      <c r="AK9" s="82">
        <f>AK21-(AK6+AK7+AK8)</f>
        <v/>
      </c>
      <c r="AL9" s="82">
        <f>AL21-(AL6+AL7+AL8)</f>
        <v/>
      </c>
      <c r="AM9" s="82">
        <f>AM21-(AM6+AM7+AM8)</f>
        <v/>
      </c>
      <c r="AN9" s="82">
        <f>AN21-(AN6+AN7+AN8)</f>
        <v/>
      </c>
      <c r="AO9" s="82">
        <f>AO21-(AO6+AO7+AO8)</f>
        <v/>
      </c>
      <c r="AP9" s="82">
        <f>AP21-(AP6+AP7+AP8)</f>
        <v/>
      </c>
      <c r="AQ9" s="82">
        <f>AQ21-(AQ6+AQ7+AQ8)</f>
        <v/>
      </c>
      <c r="AR9" s="82">
        <f>AR21-(AR6+AR7+AR8)</f>
        <v/>
      </c>
      <c r="AS9" s="82">
        <f>AS21-(AS6+AS7+AS8)</f>
        <v/>
      </c>
      <c r="AT9" s="82">
        <f>AT21-(AT6+AT7+AT8)</f>
        <v/>
      </c>
      <c r="AU9" s="82">
        <f>AU21-(AU6+AU7+AU8)</f>
        <v/>
      </c>
      <c r="AV9" s="82">
        <f>AV21-(AV6+AV7+AV8)</f>
        <v/>
      </c>
      <c r="AW9" s="82">
        <f>AW21-(AW6+AW7+AW8)</f>
        <v/>
      </c>
      <c r="AX9" s="82">
        <f>AX21-(AX6+AX7+AX8)</f>
        <v/>
      </c>
      <c r="AY9" s="82">
        <f>AY21-(AY6+AY7+AY8)</f>
        <v/>
      </c>
      <c r="AZ9" s="82">
        <f>AZ21-(AZ6+AZ7+AZ8)</f>
        <v/>
      </c>
      <c r="BA9" s="82">
        <f>BA21-(BA6+BA7+BA8)</f>
        <v/>
      </c>
      <c r="BB9" s="82">
        <f>BB21-(BB6+BB7+BB8)</f>
        <v/>
      </c>
      <c r="BC9" s="82">
        <f>BC21-(BC6+BC7+BC8)</f>
        <v/>
      </c>
      <c r="BD9" s="82">
        <f>BD21-(BD6+BD7+BD8)</f>
        <v/>
      </c>
      <c r="BE9" s="82">
        <f>BE21-(BE6+BE7+BE8)</f>
        <v/>
      </c>
      <c r="BF9" s="82">
        <f>BF21-(BF6+BF7+BF8)</f>
        <v/>
      </c>
      <c r="BG9" s="82">
        <f>BG21-(BG6+BG7+BG8)</f>
        <v/>
      </c>
      <c r="BH9" s="82">
        <f>BH21-(BH6+BH7+BH8)</f>
        <v/>
      </c>
      <c r="BI9" s="82">
        <f>BI21-(BI6+BI7+BI8)</f>
        <v/>
      </c>
      <c r="BJ9" s="82">
        <f>BJ21-(BJ6+BJ7+BJ8)</f>
        <v/>
      </c>
      <c r="BK9" s="82">
        <f>BK21-(BK6+BK7+BK8)</f>
        <v/>
      </c>
      <c r="BL9" s="82">
        <f>BL21-(BL6+BL7+BL8)</f>
        <v/>
      </c>
      <c r="BN9" s="82">
        <f>P9</f>
        <v/>
      </c>
      <c r="BO9" s="82">
        <f>AB9</f>
        <v/>
      </c>
      <c r="BP9" s="82">
        <f>AN9</f>
        <v/>
      </c>
      <c r="BQ9" s="82">
        <f>AZ9</f>
        <v/>
      </c>
      <c r="BR9" s="82">
        <f>BL9</f>
        <v/>
      </c>
    </row>
    <row r="10">
      <c r="A10" s="51" t="inlineStr">
        <is>
          <t>ИТОГО АКТИВЫ</t>
        </is>
      </c>
      <c r="B10" s="52" t="inlineStr">
        <is>
          <t>млн ₽</t>
        </is>
      </c>
      <c r="C10" s="48" t="inlineStr">
        <is>
          <t>—</t>
        </is>
      </c>
      <c r="D10" s="45" t="inlineStr"/>
      <c r="E10" s="67">
        <f>E6+E7+E8+E9</f>
        <v/>
      </c>
      <c r="F10" s="67">
        <f>F6+F7+F8+F9</f>
        <v/>
      </c>
      <c r="G10" s="67">
        <f>G6+G7+G8+G9</f>
        <v/>
      </c>
      <c r="H10" s="67">
        <f>H6+H7+H8+H9</f>
        <v/>
      </c>
      <c r="I10" s="67">
        <f>I6+I7+I8+I9</f>
        <v/>
      </c>
      <c r="J10" s="67">
        <f>J6+J7+J8+J9</f>
        <v/>
      </c>
      <c r="K10" s="67">
        <f>K6+K7+K8+K9</f>
        <v/>
      </c>
      <c r="L10" s="67">
        <f>L6+L7+L8+L9</f>
        <v/>
      </c>
      <c r="M10" s="67">
        <f>M6+M7+M8+M9</f>
        <v/>
      </c>
      <c r="N10" s="67">
        <f>N6+N7+N8+N9</f>
        <v/>
      </c>
      <c r="O10" s="67">
        <f>O6+O7+O8+O9</f>
        <v/>
      </c>
      <c r="P10" s="67">
        <f>P6+P7+P8+P9</f>
        <v/>
      </c>
      <c r="Q10" s="67">
        <f>Q6+Q7+Q8+Q9</f>
        <v/>
      </c>
      <c r="R10" s="67">
        <f>R6+R7+R8+R9</f>
        <v/>
      </c>
      <c r="S10" s="67">
        <f>S6+S7+S8+S9</f>
        <v/>
      </c>
      <c r="T10" s="67">
        <f>T6+T7+T8+T9</f>
        <v/>
      </c>
      <c r="U10" s="67">
        <f>U6+U7+U8+U9</f>
        <v/>
      </c>
      <c r="V10" s="67">
        <f>V6+V7+V8+V9</f>
        <v/>
      </c>
      <c r="W10" s="67">
        <f>W6+W7+W8+W9</f>
        <v/>
      </c>
      <c r="X10" s="67">
        <f>X6+X7+X8+X9</f>
        <v/>
      </c>
      <c r="Y10" s="67">
        <f>Y6+Y7+Y8+Y9</f>
        <v/>
      </c>
      <c r="Z10" s="67">
        <f>Z6+Z7+Z8+Z9</f>
        <v/>
      </c>
      <c r="AA10" s="67">
        <f>AA6+AA7+AA8+AA9</f>
        <v/>
      </c>
      <c r="AB10" s="67">
        <f>AB6+AB7+AB8+AB9</f>
        <v/>
      </c>
      <c r="AC10" s="67">
        <f>AC6+AC7+AC8+AC9</f>
        <v/>
      </c>
      <c r="AD10" s="67">
        <f>AD6+AD7+AD8+AD9</f>
        <v/>
      </c>
      <c r="AE10" s="67">
        <f>AE6+AE7+AE8+AE9</f>
        <v/>
      </c>
      <c r="AF10" s="67">
        <f>AF6+AF7+AF8+AF9</f>
        <v/>
      </c>
      <c r="AG10" s="67">
        <f>AG6+AG7+AG8+AG9</f>
        <v/>
      </c>
      <c r="AH10" s="67">
        <f>AH6+AH7+AH8+AH9</f>
        <v/>
      </c>
      <c r="AI10" s="67">
        <f>AI6+AI7+AI8+AI9</f>
        <v/>
      </c>
      <c r="AJ10" s="67">
        <f>AJ6+AJ7+AJ8+AJ9</f>
        <v/>
      </c>
      <c r="AK10" s="67">
        <f>AK6+AK7+AK8+AK9</f>
        <v/>
      </c>
      <c r="AL10" s="67">
        <f>AL6+AL7+AL8+AL9</f>
        <v/>
      </c>
      <c r="AM10" s="67">
        <f>AM6+AM7+AM8+AM9</f>
        <v/>
      </c>
      <c r="AN10" s="67">
        <f>AN6+AN7+AN8+AN9</f>
        <v/>
      </c>
      <c r="AO10" s="67">
        <f>AO6+AO7+AO8+AO9</f>
        <v/>
      </c>
      <c r="AP10" s="67">
        <f>AP6+AP7+AP8+AP9</f>
        <v/>
      </c>
      <c r="AQ10" s="67">
        <f>AQ6+AQ7+AQ8+AQ9</f>
        <v/>
      </c>
      <c r="AR10" s="67">
        <f>AR6+AR7+AR8+AR9</f>
        <v/>
      </c>
      <c r="AS10" s="67">
        <f>AS6+AS7+AS8+AS9</f>
        <v/>
      </c>
      <c r="AT10" s="67">
        <f>AT6+AT7+AT8+AT9</f>
        <v/>
      </c>
      <c r="AU10" s="67">
        <f>AU6+AU7+AU8+AU9</f>
        <v/>
      </c>
      <c r="AV10" s="67">
        <f>AV6+AV7+AV8+AV9</f>
        <v/>
      </c>
      <c r="AW10" s="67">
        <f>AW6+AW7+AW8+AW9</f>
        <v/>
      </c>
      <c r="AX10" s="67">
        <f>AX6+AX7+AX8+AX9</f>
        <v/>
      </c>
      <c r="AY10" s="67">
        <f>AY6+AY7+AY8+AY9</f>
        <v/>
      </c>
      <c r="AZ10" s="67">
        <f>AZ6+AZ7+AZ8+AZ9</f>
        <v/>
      </c>
      <c r="BA10" s="67">
        <f>BA6+BA7+BA8+BA9</f>
        <v/>
      </c>
      <c r="BB10" s="67">
        <f>BB6+BB7+BB8+BB9</f>
        <v/>
      </c>
      <c r="BC10" s="67">
        <f>BC6+BC7+BC8+BC9</f>
        <v/>
      </c>
      <c r="BD10" s="67">
        <f>BD6+BD7+BD8+BD9</f>
        <v/>
      </c>
      <c r="BE10" s="67">
        <f>BE6+BE7+BE8+BE9</f>
        <v/>
      </c>
      <c r="BF10" s="67">
        <f>BF6+BF7+BF8+BF9</f>
        <v/>
      </c>
      <c r="BG10" s="67">
        <f>BG6+BG7+BG8+BG9</f>
        <v/>
      </c>
      <c r="BH10" s="67">
        <f>BH6+BH7+BH8+BH9</f>
        <v/>
      </c>
      <c r="BI10" s="67">
        <f>BI6+BI7+BI8+BI9</f>
        <v/>
      </c>
      <c r="BJ10" s="67">
        <f>BJ6+BJ7+BJ8+BJ9</f>
        <v/>
      </c>
      <c r="BK10" s="67">
        <f>BK6+BK7+BK8+BK9</f>
        <v/>
      </c>
      <c r="BL10" s="67">
        <f>BL6+BL7+BL8+BL9</f>
        <v/>
      </c>
      <c r="BN10" s="53">
        <f>P10</f>
        <v/>
      </c>
      <c r="BO10" s="53">
        <f>AB10</f>
        <v/>
      </c>
      <c r="BP10" s="53">
        <f>AN10</f>
        <v/>
      </c>
      <c r="BQ10" s="53">
        <f>AZ10</f>
        <v/>
      </c>
      <c r="BR10" s="53">
        <f>BL10</f>
        <v/>
      </c>
    </row>
    <row r="11"/>
    <row r="12" ht="22" customHeight="1">
      <c r="A12" s="62" t="inlineStr">
        <is>
          <t xml:space="preserve">  ПАССИВЫ (LIABILITIES &amp; EQUITY)</t>
        </is>
      </c>
    </row>
    <row r="13">
      <c r="A13" s="93" t="inlineStr">
        <is>
          <t xml:space="preserve">    AP = COGS × 12 × DPO/365</t>
        </is>
      </c>
      <c r="B13" s="94" t="inlineStr">
        <is>
          <t>млн ₽</t>
        </is>
      </c>
      <c r="C13" s="48" t="inlineStr">
        <is>
          <t>—</t>
        </is>
      </c>
      <c r="D13" s="45" t="inlineStr"/>
      <c r="E13" s="53">
        <f>'COGS &amp; SGA'!E15*12*Input!BN96/365</f>
        <v/>
      </c>
      <c r="F13" s="53">
        <f>'COGS &amp; SGA'!F15*12*Input!BN96/365</f>
        <v/>
      </c>
      <c r="G13" s="53">
        <f>'COGS &amp; SGA'!G15*12*Input!BN96/365</f>
        <v/>
      </c>
      <c r="H13" s="53">
        <f>'COGS &amp; SGA'!H15*12*Input!BN96/365</f>
        <v/>
      </c>
      <c r="I13" s="53">
        <f>'COGS &amp; SGA'!I15*12*Input!BN96/365</f>
        <v/>
      </c>
      <c r="J13" s="53">
        <f>'COGS &amp; SGA'!J15*12*Input!BN96/365</f>
        <v/>
      </c>
      <c r="K13" s="53">
        <f>'COGS &amp; SGA'!K15*12*Input!BN96/365</f>
        <v/>
      </c>
      <c r="L13" s="53">
        <f>'COGS &amp; SGA'!L15*12*Input!BN96/365</f>
        <v/>
      </c>
      <c r="M13" s="53">
        <f>'COGS &amp; SGA'!M15*12*Input!BN96/365</f>
        <v/>
      </c>
      <c r="N13" s="53">
        <f>'COGS &amp; SGA'!N15*12*Input!BN96/365</f>
        <v/>
      </c>
      <c r="O13" s="53">
        <f>'COGS &amp; SGA'!O15*12*Input!BN96/365</f>
        <v/>
      </c>
      <c r="P13" s="53">
        <f>'COGS &amp; SGA'!P15*12*Input!BN96/365</f>
        <v/>
      </c>
      <c r="Q13" s="53">
        <f>'COGS &amp; SGA'!Q15*12*Input!BN96/365</f>
        <v/>
      </c>
      <c r="R13" s="53">
        <f>'COGS &amp; SGA'!R15*12*Input!BN96/365</f>
        <v/>
      </c>
      <c r="S13" s="53">
        <f>'COGS &amp; SGA'!S15*12*Input!BN96/365</f>
        <v/>
      </c>
      <c r="T13" s="53">
        <f>'COGS &amp; SGA'!T15*12*Input!BN96/365</f>
        <v/>
      </c>
      <c r="U13" s="53">
        <f>'COGS &amp; SGA'!U15*12*Input!BN96/365</f>
        <v/>
      </c>
      <c r="V13" s="53">
        <f>'COGS &amp; SGA'!V15*12*Input!BN96/365</f>
        <v/>
      </c>
      <c r="W13" s="53">
        <f>'COGS &amp; SGA'!W15*12*Input!BN96/365</f>
        <v/>
      </c>
      <c r="X13" s="53">
        <f>'COGS &amp; SGA'!X15*12*Input!BN96/365</f>
        <v/>
      </c>
      <c r="Y13" s="53">
        <f>'COGS &amp; SGA'!Y15*12*Input!BN96/365</f>
        <v/>
      </c>
      <c r="Z13" s="53">
        <f>'COGS &amp; SGA'!Z15*12*Input!BN96/365</f>
        <v/>
      </c>
      <c r="AA13" s="53">
        <f>'COGS &amp; SGA'!AA15*12*Input!BN96/365</f>
        <v/>
      </c>
      <c r="AB13" s="53">
        <f>'COGS &amp; SGA'!AB15*12*Input!BN96/365</f>
        <v/>
      </c>
      <c r="AC13" s="53">
        <f>'COGS &amp; SGA'!AC15*12*Input!BN96/365</f>
        <v/>
      </c>
      <c r="AD13" s="53">
        <f>'COGS &amp; SGA'!AD15*12*Input!BN96/365</f>
        <v/>
      </c>
      <c r="AE13" s="53">
        <f>'COGS &amp; SGA'!AE15*12*Input!BN96/365</f>
        <v/>
      </c>
      <c r="AF13" s="53">
        <f>'COGS &amp; SGA'!AF15*12*Input!BN96/365</f>
        <v/>
      </c>
      <c r="AG13" s="53">
        <f>'COGS &amp; SGA'!AG15*12*Input!BN96/365</f>
        <v/>
      </c>
      <c r="AH13" s="53">
        <f>'COGS &amp; SGA'!AH15*12*Input!BN96/365</f>
        <v/>
      </c>
      <c r="AI13" s="53">
        <f>'COGS &amp; SGA'!AI15*12*Input!BN96/365</f>
        <v/>
      </c>
      <c r="AJ13" s="53">
        <f>'COGS &amp; SGA'!AJ15*12*Input!BN96/365</f>
        <v/>
      </c>
      <c r="AK13" s="53">
        <f>'COGS &amp; SGA'!AK15*12*Input!BN96/365</f>
        <v/>
      </c>
      <c r="AL13" s="53">
        <f>'COGS &amp; SGA'!AL15*12*Input!BN96/365</f>
        <v/>
      </c>
      <c r="AM13" s="53">
        <f>'COGS &amp; SGA'!AM15*12*Input!BN96/365</f>
        <v/>
      </c>
      <c r="AN13" s="53">
        <f>'COGS &amp; SGA'!AN15*12*Input!BN96/365</f>
        <v/>
      </c>
      <c r="AO13" s="53">
        <f>'COGS &amp; SGA'!AO15*12*Input!BN96/365</f>
        <v/>
      </c>
      <c r="AP13" s="53">
        <f>'COGS &amp; SGA'!AP15*12*Input!BN96/365</f>
        <v/>
      </c>
      <c r="AQ13" s="53">
        <f>'COGS &amp; SGA'!AQ15*12*Input!BN96/365</f>
        <v/>
      </c>
      <c r="AR13" s="53">
        <f>'COGS &amp; SGA'!AR15*12*Input!BN96/365</f>
        <v/>
      </c>
      <c r="AS13" s="53">
        <f>'COGS &amp; SGA'!AS15*12*Input!BN96/365</f>
        <v/>
      </c>
      <c r="AT13" s="53">
        <f>'COGS &amp; SGA'!AT15*12*Input!BN96/365</f>
        <v/>
      </c>
      <c r="AU13" s="53">
        <f>'COGS &amp; SGA'!AU15*12*Input!BN96/365</f>
        <v/>
      </c>
      <c r="AV13" s="53">
        <f>'COGS &amp; SGA'!AV15*12*Input!BN96/365</f>
        <v/>
      </c>
      <c r="AW13" s="53">
        <f>'COGS &amp; SGA'!AW15*12*Input!BN96/365</f>
        <v/>
      </c>
      <c r="AX13" s="53">
        <f>'COGS &amp; SGA'!AX15*12*Input!BN96/365</f>
        <v/>
      </c>
      <c r="AY13" s="53">
        <f>'COGS &amp; SGA'!AY15*12*Input!BN96/365</f>
        <v/>
      </c>
      <c r="AZ13" s="53">
        <f>'COGS &amp; SGA'!AZ15*12*Input!BN96/365</f>
        <v/>
      </c>
      <c r="BA13" s="53">
        <f>'COGS &amp; SGA'!BA15*12*Input!BN96/365</f>
        <v/>
      </c>
      <c r="BB13" s="53">
        <f>'COGS &amp; SGA'!BB15*12*Input!BN96/365</f>
        <v/>
      </c>
      <c r="BC13" s="53">
        <f>'COGS &amp; SGA'!BC15*12*Input!BN96/365</f>
        <v/>
      </c>
      <c r="BD13" s="53">
        <f>'COGS &amp; SGA'!BD15*12*Input!BN96/365</f>
        <v/>
      </c>
      <c r="BE13" s="53">
        <f>'COGS &amp; SGA'!BE15*12*Input!BN96/365</f>
        <v/>
      </c>
      <c r="BF13" s="53">
        <f>'COGS &amp; SGA'!BF15*12*Input!BN96/365</f>
        <v/>
      </c>
      <c r="BG13" s="53">
        <f>'COGS &amp; SGA'!BG15*12*Input!BN96/365</f>
        <v/>
      </c>
      <c r="BH13" s="53">
        <f>'COGS &amp; SGA'!BH15*12*Input!BN96/365</f>
        <v/>
      </c>
      <c r="BI13" s="53">
        <f>'COGS &amp; SGA'!BI15*12*Input!BN96/365</f>
        <v/>
      </c>
      <c r="BJ13" s="53">
        <f>'COGS &amp; SGA'!BJ15*12*Input!BN96/365</f>
        <v/>
      </c>
      <c r="BK13" s="53">
        <f>'COGS &amp; SGA'!BK15*12*Input!BN96/365</f>
        <v/>
      </c>
      <c r="BL13" s="53">
        <f>'COGS &amp; SGA'!BL15*12*Input!BN96/365</f>
        <v/>
      </c>
      <c r="BN13" s="53">
        <f>P13</f>
        <v/>
      </c>
      <c r="BO13" s="53">
        <f>AB13</f>
        <v/>
      </c>
      <c r="BP13" s="53">
        <f>AN13</f>
        <v/>
      </c>
      <c r="BQ13" s="53">
        <f>AZ13</f>
        <v/>
      </c>
      <c r="BR13" s="53">
        <f>BL13</f>
        <v/>
      </c>
    </row>
    <row r="14">
      <c r="A14" s="93" t="inlineStr">
        <is>
          <t xml:space="preserve">    Налоги к уплате, нетто (− = НДС к возмещению; из Налоги)</t>
        </is>
      </c>
      <c r="B14" s="94" t="inlineStr">
        <is>
          <t>млн ₽</t>
        </is>
      </c>
      <c r="C14" s="48" t="inlineStr">
        <is>
          <t>—</t>
        </is>
      </c>
      <c r="D14" s="45" t="inlineStr"/>
      <c r="E14" s="53">
        <f>'Налоги'!E29</f>
        <v/>
      </c>
      <c r="F14" s="53">
        <f>'Налоги'!F29</f>
        <v/>
      </c>
      <c r="G14" s="53">
        <f>'Налоги'!G29</f>
        <v/>
      </c>
      <c r="H14" s="53">
        <f>'Налоги'!H29</f>
        <v/>
      </c>
      <c r="I14" s="53">
        <f>'Налоги'!I29</f>
        <v/>
      </c>
      <c r="J14" s="53">
        <f>'Налоги'!J29</f>
        <v/>
      </c>
      <c r="K14" s="53">
        <f>'Налоги'!K29</f>
        <v/>
      </c>
      <c r="L14" s="53">
        <f>'Налоги'!L29</f>
        <v/>
      </c>
      <c r="M14" s="53">
        <f>'Налоги'!M29</f>
        <v/>
      </c>
      <c r="N14" s="53">
        <f>'Налоги'!N29</f>
        <v/>
      </c>
      <c r="O14" s="53">
        <f>'Налоги'!O29</f>
        <v/>
      </c>
      <c r="P14" s="53">
        <f>'Налоги'!P29</f>
        <v/>
      </c>
      <c r="Q14" s="53">
        <f>'Налоги'!Q29</f>
        <v/>
      </c>
      <c r="R14" s="53">
        <f>'Налоги'!R29</f>
        <v/>
      </c>
      <c r="S14" s="53">
        <f>'Налоги'!S29</f>
        <v/>
      </c>
      <c r="T14" s="53">
        <f>'Налоги'!T29</f>
        <v/>
      </c>
      <c r="U14" s="53">
        <f>'Налоги'!U29</f>
        <v/>
      </c>
      <c r="V14" s="53">
        <f>'Налоги'!V29</f>
        <v/>
      </c>
      <c r="W14" s="53">
        <f>'Налоги'!W29</f>
        <v/>
      </c>
      <c r="X14" s="53">
        <f>'Налоги'!X29</f>
        <v/>
      </c>
      <c r="Y14" s="53">
        <f>'Налоги'!Y29</f>
        <v/>
      </c>
      <c r="Z14" s="53">
        <f>'Налоги'!Z29</f>
        <v/>
      </c>
      <c r="AA14" s="53">
        <f>'Налоги'!AA29</f>
        <v/>
      </c>
      <c r="AB14" s="53">
        <f>'Налоги'!AB29</f>
        <v/>
      </c>
      <c r="AC14" s="53">
        <f>'Налоги'!AC29</f>
        <v/>
      </c>
      <c r="AD14" s="53">
        <f>'Налоги'!AD29</f>
        <v/>
      </c>
      <c r="AE14" s="53">
        <f>'Налоги'!AE29</f>
        <v/>
      </c>
      <c r="AF14" s="53">
        <f>'Налоги'!AF29</f>
        <v/>
      </c>
      <c r="AG14" s="53">
        <f>'Налоги'!AG29</f>
        <v/>
      </c>
      <c r="AH14" s="53">
        <f>'Налоги'!AH29</f>
        <v/>
      </c>
      <c r="AI14" s="53">
        <f>'Налоги'!AI29</f>
        <v/>
      </c>
      <c r="AJ14" s="53">
        <f>'Налоги'!AJ29</f>
        <v/>
      </c>
      <c r="AK14" s="53">
        <f>'Налоги'!AK29</f>
        <v/>
      </c>
      <c r="AL14" s="53">
        <f>'Налоги'!AL29</f>
        <v/>
      </c>
      <c r="AM14" s="53">
        <f>'Налоги'!AM29</f>
        <v/>
      </c>
      <c r="AN14" s="53">
        <f>'Налоги'!AN29</f>
        <v/>
      </c>
      <c r="AO14" s="53">
        <f>'Налоги'!AO29</f>
        <v/>
      </c>
      <c r="AP14" s="53">
        <f>'Налоги'!AP29</f>
        <v/>
      </c>
      <c r="AQ14" s="53">
        <f>'Налоги'!AQ29</f>
        <v/>
      </c>
      <c r="AR14" s="53">
        <f>'Налоги'!AR29</f>
        <v/>
      </c>
      <c r="AS14" s="53">
        <f>'Налоги'!AS29</f>
        <v/>
      </c>
      <c r="AT14" s="53">
        <f>'Налоги'!AT29</f>
        <v/>
      </c>
      <c r="AU14" s="53">
        <f>'Налоги'!AU29</f>
        <v/>
      </c>
      <c r="AV14" s="53">
        <f>'Налоги'!AV29</f>
        <v/>
      </c>
      <c r="AW14" s="53">
        <f>'Налоги'!AW29</f>
        <v/>
      </c>
      <c r="AX14" s="53">
        <f>'Налоги'!AX29</f>
        <v/>
      </c>
      <c r="AY14" s="53">
        <f>'Налоги'!AY29</f>
        <v/>
      </c>
      <c r="AZ14" s="53">
        <f>'Налоги'!AZ29</f>
        <v/>
      </c>
      <c r="BA14" s="53">
        <f>'Налоги'!BA29</f>
        <v/>
      </c>
      <c r="BB14" s="53">
        <f>'Налоги'!BB29</f>
        <v/>
      </c>
      <c r="BC14" s="53">
        <f>'Налоги'!BC29</f>
        <v/>
      </c>
      <c r="BD14" s="53">
        <f>'Налоги'!BD29</f>
        <v/>
      </c>
      <c r="BE14" s="53">
        <f>'Налоги'!BE29</f>
        <v/>
      </c>
      <c r="BF14" s="53">
        <f>'Налоги'!BF29</f>
        <v/>
      </c>
      <c r="BG14" s="53">
        <f>'Налоги'!BG29</f>
        <v/>
      </c>
      <c r="BH14" s="53">
        <f>'Налоги'!BH29</f>
        <v/>
      </c>
      <c r="BI14" s="53">
        <f>'Налоги'!BI29</f>
        <v/>
      </c>
      <c r="BJ14" s="53">
        <f>'Налоги'!BJ29</f>
        <v/>
      </c>
      <c r="BK14" s="53">
        <f>'Налоги'!BK29</f>
        <v/>
      </c>
      <c r="BL14" s="53">
        <f>'Налоги'!BL29</f>
        <v/>
      </c>
      <c r="BN14" s="53">
        <f>P14</f>
        <v/>
      </c>
      <c r="BO14" s="53">
        <f>AB14</f>
        <v/>
      </c>
      <c r="BP14" s="53">
        <f>AN14</f>
        <v/>
      </c>
      <c r="BQ14" s="53">
        <f>AZ14</f>
        <v/>
      </c>
      <c r="BR14" s="53">
        <f>BL14</f>
        <v/>
      </c>
    </row>
    <row r="15">
      <c r="A15" s="93" t="inlineStr">
        <is>
          <t xml:space="preserve">    Долг (из Долговое финансирование)</t>
        </is>
      </c>
      <c r="B15" s="94" t="inlineStr">
        <is>
          <t>млн ₽</t>
        </is>
      </c>
      <c r="C15" s="48" t="inlineStr">
        <is>
          <t>—</t>
        </is>
      </c>
      <c r="D15" s="45" t="inlineStr"/>
      <c r="E15" s="53">
        <f>'Долговое финансирование'!E12</f>
        <v/>
      </c>
      <c r="F15" s="53">
        <f>'Долговое финансирование'!F12</f>
        <v/>
      </c>
      <c r="G15" s="53">
        <f>'Долговое финансирование'!G12</f>
        <v/>
      </c>
      <c r="H15" s="53">
        <f>'Долговое финансирование'!H12</f>
        <v/>
      </c>
      <c r="I15" s="53">
        <f>'Долговое финансирование'!I12</f>
        <v/>
      </c>
      <c r="J15" s="53">
        <f>'Долговое финансирование'!J12</f>
        <v/>
      </c>
      <c r="K15" s="53">
        <f>'Долговое финансирование'!K12</f>
        <v/>
      </c>
      <c r="L15" s="53">
        <f>'Долговое финансирование'!L12</f>
        <v/>
      </c>
      <c r="M15" s="53">
        <f>'Долговое финансирование'!M12</f>
        <v/>
      </c>
      <c r="N15" s="53">
        <f>'Долговое финансирование'!N12</f>
        <v/>
      </c>
      <c r="O15" s="53">
        <f>'Долговое финансирование'!O12</f>
        <v/>
      </c>
      <c r="P15" s="53">
        <f>'Долговое финансирование'!P12</f>
        <v/>
      </c>
      <c r="Q15" s="53">
        <f>'Долговое финансирование'!Q12</f>
        <v/>
      </c>
      <c r="R15" s="53">
        <f>'Долговое финансирование'!R12</f>
        <v/>
      </c>
      <c r="S15" s="53">
        <f>'Долговое финансирование'!S12</f>
        <v/>
      </c>
      <c r="T15" s="53">
        <f>'Долговое финансирование'!T12</f>
        <v/>
      </c>
      <c r="U15" s="53">
        <f>'Долговое финансирование'!U12</f>
        <v/>
      </c>
      <c r="V15" s="53">
        <f>'Долговое финансирование'!V12</f>
        <v/>
      </c>
      <c r="W15" s="53">
        <f>'Долговое финансирование'!W12</f>
        <v/>
      </c>
      <c r="X15" s="53">
        <f>'Долговое финансирование'!X12</f>
        <v/>
      </c>
      <c r="Y15" s="53">
        <f>'Долговое финансирование'!Y12</f>
        <v/>
      </c>
      <c r="Z15" s="53">
        <f>'Долговое финансирование'!Z12</f>
        <v/>
      </c>
      <c r="AA15" s="53">
        <f>'Долговое финансирование'!AA12</f>
        <v/>
      </c>
      <c r="AB15" s="53">
        <f>'Долговое финансирование'!AB12</f>
        <v/>
      </c>
      <c r="AC15" s="53">
        <f>'Долговое финансирование'!AC12</f>
        <v/>
      </c>
      <c r="AD15" s="53">
        <f>'Долговое финансирование'!AD12</f>
        <v/>
      </c>
      <c r="AE15" s="53">
        <f>'Долговое финансирование'!AE12</f>
        <v/>
      </c>
      <c r="AF15" s="53">
        <f>'Долговое финансирование'!AF12</f>
        <v/>
      </c>
      <c r="AG15" s="53">
        <f>'Долговое финансирование'!AG12</f>
        <v/>
      </c>
      <c r="AH15" s="53">
        <f>'Долговое финансирование'!AH12</f>
        <v/>
      </c>
      <c r="AI15" s="53">
        <f>'Долговое финансирование'!AI12</f>
        <v/>
      </c>
      <c r="AJ15" s="53">
        <f>'Долговое финансирование'!AJ12</f>
        <v/>
      </c>
      <c r="AK15" s="53">
        <f>'Долговое финансирование'!AK12</f>
        <v/>
      </c>
      <c r="AL15" s="53">
        <f>'Долговое финансирование'!AL12</f>
        <v/>
      </c>
      <c r="AM15" s="53">
        <f>'Долговое финансирование'!AM12</f>
        <v/>
      </c>
      <c r="AN15" s="53">
        <f>'Долговое финансирование'!AN12</f>
        <v/>
      </c>
      <c r="AO15" s="53">
        <f>'Долговое финансирование'!AO12</f>
        <v/>
      </c>
      <c r="AP15" s="53">
        <f>'Долговое финансирование'!AP12</f>
        <v/>
      </c>
      <c r="AQ15" s="53">
        <f>'Долговое финансирование'!AQ12</f>
        <v/>
      </c>
      <c r="AR15" s="53">
        <f>'Долговое финансирование'!AR12</f>
        <v/>
      </c>
      <c r="AS15" s="53">
        <f>'Долговое финансирование'!AS12</f>
        <v/>
      </c>
      <c r="AT15" s="53">
        <f>'Долговое финансирование'!AT12</f>
        <v/>
      </c>
      <c r="AU15" s="53">
        <f>'Долговое финансирование'!AU12</f>
        <v/>
      </c>
      <c r="AV15" s="53">
        <f>'Долговое финансирование'!AV12</f>
        <v/>
      </c>
      <c r="AW15" s="53">
        <f>'Долговое финансирование'!AW12</f>
        <v/>
      </c>
      <c r="AX15" s="53">
        <f>'Долговое финансирование'!AX12</f>
        <v/>
      </c>
      <c r="AY15" s="53">
        <f>'Долговое финансирование'!AY12</f>
        <v/>
      </c>
      <c r="AZ15" s="53">
        <f>'Долговое финансирование'!AZ12</f>
        <v/>
      </c>
      <c r="BA15" s="53">
        <f>'Долговое финансирование'!BA12</f>
        <v/>
      </c>
      <c r="BB15" s="53">
        <f>'Долговое финансирование'!BB12</f>
        <v/>
      </c>
      <c r="BC15" s="53">
        <f>'Долговое финансирование'!BC12</f>
        <v/>
      </c>
      <c r="BD15" s="53">
        <f>'Долговое финансирование'!BD12</f>
        <v/>
      </c>
      <c r="BE15" s="53">
        <f>'Долговое финансирование'!BE12</f>
        <v/>
      </c>
      <c r="BF15" s="53">
        <f>'Долговое финансирование'!BF12</f>
        <v/>
      </c>
      <c r="BG15" s="53">
        <f>'Долговое финансирование'!BG12</f>
        <v/>
      </c>
      <c r="BH15" s="53">
        <f>'Долговое финансирование'!BH12</f>
        <v/>
      </c>
      <c r="BI15" s="53">
        <f>'Долговое финансирование'!BI12</f>
        <v/>
      </c>
      <c r="BJ15" s="53">
        <f>'Долговое финансирование'!BJ12</f>
        <v/>
      </c>
      <c r="BK15" s="53">
        <f>'Долговое финансирование'!BK12</f>
        <v/>
      </c>
      <c r="BL15" s="53">
        <f>'Долговое финансирование'!BL12</f>
        <v/>
      </c>
      <c r="BN15" s="53">
        <f>P15</f>
        <v/>
      </c>
      <c r="BO15" s="53">
        <f>AB15</f>
        <v/>
      </c>
      <c r="BP15" s="53">
        <f>AN15</f>
        <v/>
      </c>
      <c r="BQ15" s="53">
        <f>AZ15</f>
        <v/>
      </c>
      <c r="BR15" s="53">
        <f>BL15</f>
        <v/>
      </c>
    </row>
    <row r="16">
      <c r="A16" s="93" t="inlineStr">
        <is>
          <t xml:space="preserve">    Revolver (из Долговое финансирование)</t>
        </is>
      </c>
      <c r="B16" s="94" t="inlineStr">
        <is>
          <t>млн ₽</t>
        </is>
      </c>
      <c r="C16" s="48" t="inlineStr">
        <is>
          <t>—</t>
        </is>
      </c>
      <c r="D16" s="45" t="inlineStr"/>
      <c r="E16" s="53">
        <f>'Долговое финансирование'!E24</f>
        <v/>
      </c>
      <c r="F16" s="53">
        <f>'Долговое финансирование'!F24</f>
        <v/>
      </c>
      <c r="G16" s="53">
        <f>'Долговое финансирование'!G24</f>
        <v/>
      </c>
      <c r="H16" s="53">
        <f>'Долговое финансирование'!H24</f>
        <v/>
      </c>
      <c r="I16" s="53">
        <f>'Долговое финансирование'!I24</f>
        <v/>
      </c>
      <c r="J16" s="53">
        <f>'Долговое финансирование'!J24</f>
        <v/>
      </c>
      <c r="K16" s="53">
        <f>'Долговое финансирование'!K24</f>
        <v/>
      </c>
      <c r="L16" s="53">
        <f>'Долговое финансирование'!L24</f>
        <v/>
      </c>
      <c r="M16" s="53">
        <f>'Долговое финансирование'!M24</f>
        <v/>
      </c>
      <c r="N16" s="53">
        <f>'Долговое финансирование'!N24</f>
        <v/>
      </c>
      <c r="O16" s="53">
        <f>'Долговое финансирование'!O24</f>
        <v/>
      </c>
      <c r="P16" s="53">
        <f>'Долговое финансирование'!P24</f>
        <v/>
      </c>
      <c r="Q16" s="53">
        <f>'Долговое финансирование'!Q24</f>
        <v/>
      </c>
      <c r="R16" s="53">
        <f>'Долговое финансирование'!R24</f>
        <v/>
      </c>
      <c r="S16" s="53">
        <f>'Долговое финансирование'!S24</f>
        <v/>
      </c>
      <c r="T16" s="53">
        <f>'Долговое финансирование'!T24</f>
        <v/>
      </c>
      <c r="U16" s="53">
        <f>'Долговое финансирование'!U24</f>
        <v/>
      </c>
      <c r="V16" s="53">
        <f>'Долговое финансирование'!V24</f>
        <v/>
      </c>
      <c r="W16" s="53">
        <f>'Долговое финансирование'!W24</f>
        <v/>
      </c>
      <c r="X16" s="53">
        <f>'Долговое финансирование'!X24</f>
        <v/>
      </c>
      <c r="Y16" s="53">
        <f>'Долговое финансирование'!Y24</f>
        <v/>
      </c>
      <c r="Z16" s="53">
        <f>'Долговое финансирование'!Z24</f>
        <v/>
      </c>
      <c r="AA16" s="53">
        <f>'Долговое финансирование'!AA24</f>
        <v/>
      </c>
      <c r="AB16" s="53">
        <f>'Долговое финансирование'!AB24</f>
        <v/>
      </c>
      <c r="AC16" s="53">
        <f>'Долговое финансирование'!AC24</f>
        <v/>
      </c>
      <c r="AD16" s="53">
        <f>'Долговое финансирование'!AD24</f>
        <v/>
      </c>
      <c r="AE16" s="53">
        <f>'Долговое финансирование'!AE24</f>
        <v/>
      </c>
      <c r="AF16" s="53">
        <f>'Долговое финансирование'!AF24</f>
        <v/>
      </c>
      <c r="AG16" s="53">
        <f>'Долговое финансирование'!AG24</f>
        <v/>
      </c>
      <c r="AH16" s="53">
        <f>'Долговое финансирование'!AH24</f>
        <v/>
      </c>
      <c r="AI16" s="53">
        <f>'Долговое финансирование'!AI24</f>
        <v/>
      </c>
      <c r="AJ16" s="53">
        <f>'Долговое финансирование'!AJ24</f>
        <v/>
      </c>
      <c r="AK16" s="53">
        <f>'Долговое финансирование'!AK24</f>
        <v/>
      </c>
      <c r="AL16" s="53">
        <f>'Долговое финансирование'!AL24</f>
        <v/>
      </c>
      <c r="AM16" s="53">
        <f>'Долговое финансирование'!AM24</f>
        <v/>
      </c>
      <c r="AN16" s="53">
        <f>'Долговое финансирование'!AN24</f>
        <v/>
      </c>
      <c r="AO16" s="53">
        <f>'Долговое финансирование'!AO24</f>
        <v/>
      </c>
      <c r="AP16" s="53">
        <f>'Долговое финансирование'!AP24</f>
        <v/>
      </c>
      <c r="AQ16" s="53">
        <f>'Долговое финансирование'!AQ24</f>
        <v/>
      </c>
      <c r="AR16" s="53">
        <f>'Долговое финансирование'!AR24</f>
        <v/>
      </c>
      <c r="AS16" s="53">
        <f>'Долговое финансирование'!AS24</f>
        <v/>
      </c>
      <c r="AT16" s="53">
        <f>'Долговое финансирование'!AT24</f>
        <v/>
      </c>
      <c r="AU16" s="53">
        <f>'Долговое финансирование'!AU24</f>
        <v/>
      </c>
      <c r="AV16" s="53">
        <f>'Долговое финансирование'!AV24</f>
        <v/>
      </c>
      <c r="AW16" s="53">
        <f>'Долговое финансирование'!AW24</f>
        <v/>
      </c>
      <c r="AX16" s="53">
        <f>'Долговое финансирование'!AX24</f>
        <v/>
      </c>
      <c r="AY16" s="53">
        <f>'Долговое финансирование'!AY24</f>
        <v/>
      </c>
      <c r="AZ16" s="53">
        <f>'Долговое финансирование'!AZ24</f>
        <v/>
      </c>
      <c r="BA16" s="53">
        <f>'Долговое финансирование'!BA24</f>
        <v/>
      </c>
      <c r="BB16" s="53">
        <f>'Долговое финансирование'!BB24</f>
        <v/>
      </c>
      <c r="BC16" s="53">
        <f>'Долговое финансирование'!BC24</f>
        <v/>
      </c>
      <c r="BD16" s="53">
        <f>'Долговое финансирование'!BD24</f>
        <v/>
      </c>
      <c r="BE16" s="53">
        <f>'Долговое финансирование'!BE24</f>
        <v/>
      </c>
      <c r="BF16" s="53">
        <f>'Долговое финансирование'!BF24</f>
        <v/>
      </c>
      <c r="BG16" s="53">
        <f>'Долговое финансирование'!BG24</f>
        <v/>
      </c>
      <c r="BH16" s="53">
        <f>'Долговое финансирование'!BH24</f>
        <v/>
      </c>
      <c r="BI16" s="53">
        <f>'Долговое финансирование'!BI24</f>
        <v/>
      </c>
      <c r="BJ16" s="53">
        <f>'Долговое финансирование'!BJ24</f>
        <v/>
      </c>
      <c r="BK16" s="53">
        <f>'Долговое финансирование'!BK24</f>
        <v/>
      </c>
      <c r="BL16" s="53">
        <f>'Долговое финансирование'!BL24</f>
        <v/>
      </c>
      <c r="BN16" s="53">
        <f>P16</f>
        <v/>
      </c>
      <c r="BO16" s="53">
        <f>AB16</f>
        <v/>
      </c>
      <c r="BP16" s="53">
        <f>AN16</f>
        <v/>
      </c>
      <c r="BQ16" s="53">
        <f>AZ16</f>
        <v/>
      </c>
      <c r="BR16" s="53">
        <f>BL16</f>
        <v/>
      </c>
    </row>
    <row r="17">
      <c r="A17" s="93" t="inlineStr">
        <is>
          <t xml:space="preserve">    Уставный капитал (Equity)</t>
        </is>
      </c>
      <c r="B17" s="94" t="inlineStr">
        <is>
          <t>млн ₽</t>
        </is>
      </c>
      <c r="C17" s="48" t="inlineStr">
        <is>
          <t>—</t>
        </is>
      </c>
      <c r="D17" s="45" t="inlineStr"/>
      <c r="E17" s="53">
        <f>Input!BN82</f>
        <v/>
      </c>
      <c r="F17" s="53">
        <f>Input!BN82</f>
        <v/>
      </c>
      <c r="G17" s="53">
        <f>Input!BN82</f>
        <v/>
      </c>
      <c r="H17" s="53">
        <f>Input!BN82</f>
        <v/>
      </c>
      <c r="I17" s="53">
        <f>Input!BN82</f>
        <v/>
      </c>
      <c r="J17" s="53">
        <f>Input!BN82</f>
        <v/>
      </c>
      <c r="K17" s="53">
        <f>Input!BN82</f>
        <v/>
      </c>
      <c r="L17" s="53">
        <f>Input!BN82</f>
        <v/>
      </c>
      <c r="M17" s="53">
        <f>Input!BN82</f>
        <v/>
      </c>
      <c r="N17" s="53">
        <f>Input!BN82</f>
        <v/>
      </c>
      <c r="O17" s="53">
        <f>Input!BN82</f>
        <v/>
      </c>
      <c r="P17" s="53">
        <f>Input!BN82</f>
        <v/>
      </c>
      <c r="Q17" s="53">
        <f>Input!BN82</f>
        <v/>
      </c>
      <c r="R17" s="53">
        <f>Input!BN82</f>
        <v/>
      </c>
      <c r="S17" s="53">
        <f>Input!BN82</f>
        <v/>
      </c>
      <c r="T17" s="53">
        <f>Input!BN82</f>
        <v/>
      </c>
      <c r="U17" s="53">
        <f>Input!BN82</f>
        <v/>
      </c>
      <c r="V17" s="53">
        <f>Input!BN82</f>
        <v/>
      </c>
      <c r="W17" s="53">
        <f>Input!BN82</f>
        <v/>
      </c>
      <c r="X17" s="53">
        <f>Input!BN82</f>
        <v/>
      </c>
      <c r="Y17" s="53">
        <f>Input!BN82</f>
        <v/>
      </c>
      <c r="Z17" s="53">
        <f>Input!BN82</f>
        <v/>
      </c>
      <c r="AA17" s="53">
        <f>Input!BN82</f>
        <v/>
      </c>
      <c r="AB17" s="53">
        <f>Input!BN82</f>
        <v/>
      </c>
      <c r="AC17" s="53">
        <f>Input!BN82</f>
        <v/>
      </c>
      <c r="AD17" s="53">
        <f>Input!BN82</f>
        <v/>
      </c>
      <c r="AE17" s="53">
        <f>Input!BN82</f>
        <v/>
      </c>
      <c r="AF17" s="53">
        <f>Input!BN82</f>
        <v/>
      </c>
      <c r="AG17" s="53">
        <f>Input!BN82</f>
        <v/>
      </c>
      <c r="AH17" s="53">
        <f>Input!BN82</f>
        <v/>
      </c>
      <c r="AI17" s="53">
        <f>Input!BN82</f>
        <v/>
      </c>
      <c r="AJ17" s="53">
        <f>Input!BN82</f>
        <v/>
      </c>
      <c r="AK17" s="53">
        <f>Input!BN82</f>
        <v/>
      </c>
      <c r="AL17" s="53">
        <f>Input!BN82</f>
        <v/>
      </c>
      <c r="AM17" s="53">
        <f>Input!BN82</f>
        <v/>
      </c>
      <c r="AN17" s="53">
        <f>Input!BN82</f>
        <v/>
      </c>
      <c r="AO17" s="53">
        <f>Input!BN82</f>
        <v/>
      </c>
      <c r="AP17" s="53">
        <f>Input!BN82</f>
        <v/>
      </c>
      <c r="AQ17" s="53">
        <f>Input!BN82</f>
        <v/>
      </c>
      <c r="AR17" s="53">
        <f>Input!BN82</f>
        <v/>
      </c>
      <c r="AS17" s="53">
        <f>Input!BN82</f>
        <v/>
      </c>
      <c r="AT17" s="53">
        <f>Input!BN82</f>
        <v/>
      </c>
      <c r="AU17" s="53">
        <f>Input!BN82</f>
        <v/>
      </c>
      <c r="AV17" s="53">
        <f>Input!BN82</f>
        <v/>
      </c>
      <c r="AW17" s="53">
        <f>Input!BN82</f>
        <v/>
      </c>
      <c r="AX17" s="53">
        <f>Input!BN82</f>
        <v/>
      </c>
      <c r="AY17" s="53">
        <f>Input!BN82</f>
        <v/>
      </c>
      <c r="AZ17" s="53">
        <f>Input!BN82</f>
        <v/>
      </c>
      <c r="BA17" s="53">
        <f>Input!BN82</f>
        <v/>
      </c>
      <c r="BB17" s="53">
        <f>Input!BN82</f>
        <v/>
      </c>
      <c r="BC17" s="53">
        <f>Input!BN82</f>
        <v/>
      </c>
      <c r="BD17" s="53">
        <f>Input!BN82</f>
        <v/>
      </c>
      <c r="BE17" s="53">
        <f>Input!BN82</f>
        <v/>
      </c>
      <c r="BF17" s="53">
        <f>Input!BN82</f>
        <v/>
      </c>
      <c r="BG17" s="53">
        <f>Input!BN82</f>
        <v/>
      </c>
      <c r="BH17" s="53">
        <f>Input!BN82</f>
        <v/>
      </c>
      <c r="BI17" s="53">
        <f>Input!BN82</f>
        <v/>
      </c>
      <c r="BJ17" s="53">
        <f>Input!BN82</f>
        <v/>
      </c>
      <c r="BK17" s="53">
        <f>Input!BN82</f>
        <v/>
      </c>
      <c r="BL17" s="53">
        <f>Input!BN82</f>
        <v/>
      </c>
      <c r="BN17" s="53">
        <f>P17</f>
        <v/>
      </c>
      <c r="BO17" s="53">
        <f>AB17</f>
        <v/>
      </c>
      <c r="BP17" s="53">
        <f>AN17</f>
        <v/>
      </c>
      <c r="BQ17" s="53">
        <f>AZ17</f>
        <v/>
      </c>
      <c r="BR17" s="53">
        <f>BL17</f>
        <v/>
      </c>
    </row>
    <row r="18">
      <c r="A18" s="42" t="inlineStr">
        <is>
          <t xml:space="preserve">    RE — начало месяца</t>
        </is>
      </c>
      <c r="B18" s="43" t="inlineStr">
        <is>
          <t>млн ₽</t>
        </is>
      </c>
      <c r="C18" s="48" t="inlineStr">
        <is>
          <t>—</t>
        </is>
      </c>
      <c r="D18" s="45" t="inlineStr"/>
      <c r="E18" s="79">
        <f>Input!BN97</f>
        <v/>
      </c>
      <c r="F18" s="79">
        <f>E20</f>
        <v/>
      </c>
      <c r="G18" s="79">
        <f>F20</f>
        <v/>
      </c>
      <c r="H18" s="79">
        <f>G20</f>
        <v/>
      </c>
      <c r="I18" s="79">
        <f>H20</f>
        <v/>
      </c>
      <c r="J18" s="79">
        <f>I20</f>
        <v/>
      </c>
      <c r="K18" s="79">
        <f>J20</f>
        <v/>
      </c>
      <c r="L18" s="79">
        <f>K20</f>
        <v/>
      </c>
      <c r="M18" s="79">
        <f>L20</f>
        <v/>
      </c>
      <c r="N18" s="79">
        <f>M20</f>
        <v/>
      </c>
      <c r="O18" s="79">
        <f>N20</f>
        <v/>
      </c>
      <c r="P18" s="79">
        <f>O20</f>
        <v/>
      </c>
      <c r="Q18" s="79">
        <f>P20</f>
        <v/>
      </c>
      <c r="R18" s="79">
        <f>Q20</f>
        <v/>
      </c>
      <c r="S18" s="79">
        <f>R20</f>
        <v/>
      </c>
      <c r="T18" s="79">
        <f>S20</f>
        <v/>
      </c>
      <c r="U18" s="79">
        <f>T20</f>
        <v/>
      </c>
      <c r="V18" s="79">
        <f>U20</f>
        <v/>
      </c>
      <c r="W18" s="79">
        <f>V20</f>
        <v/>
      </c>
      <c r="X18" s="79">
        <f>W20</f>
        <v/>
      </c>
      <c r="Y18" s="79">
        <f>X20</f>
        <v/>
      </c>
      <c r="Z18" s="79">
        <f>Y20</f>
        <v/>
      </c>
      <c r="AA18" s="79">
        <f>Z20</f>
        <v/>
      </c>
      <c r="AB18" s="79">
        <f>AA20</f>
        <v/>
      </c>
      <c r="AC18" s="79">
        <f>AB20</f>
        <v/>
      </c>
      <c r="AD18" s="79">
        <f>AC20</f>
        <v/>
      </c>
      <c r="AE18" s="79">
        <f>AD20</f>
        <v/>
      </c>
      <c r="AF18" s="79">
        <f>AE20</f>
        <v/>
      </c>
      <c r="AG18" s="79">
        <f>AF20</f>
        <v/>
      </c>
      <c r="AH18" s="79">
        <f>AG20</f>
        <v/>
      </c>
      <c r="AI18" s="79">
        <f>AH20</f>
        <v/>
      </c>
      <c r="AJ18" s="79">
        <f>AI20</f>
        <v/>
      </c>
      <c r="AK18" s="79">
        <f>AJ20</f>
        <v/>
      </c>
      <c r="AL18" s="79">
        <f>AK20</f>
        <v/>
      </c>
      <c r="AM18" s="79">
        <f>AL20</f>
        <v/>
      </c>
      <c r="AN18" s="79">
        <f>AM20</f>
        <v/>
      </c>
      <c r="AO18" s="79">
        <f>AN20</f>
        <v/>
      </c>
      <c r="AP18" s="79">
        <f>AO20</f>
        <v/>
      </c>
      <c r="AQ18" s="79">
        <f>AP20</f>
        <v/>
      </c>
      <c r="AR18" s="79">
        <f>AQ20</f>
        <v/>
      </c>
      <c r="AS18" s="79">
        <f>AR20</f>
        <v/>
      </c>
      <c r="AT18" s="79">
        <f>AS20</f>
        <v/>
      </c>
      <c r="AU18" s="79">
        <f>AT20</f>
        <v/>
      </c>
      <c r="AV18" s="79">
        <f>AU20</f>
        <v/>
      </c>
      <c r="AW18" s="79">
        <f>AV20</f>
        <v/>
      </c>
      <c r="AX18" s="79">
        <f>AW20</f>
        <v/>
      </c>
      <c r="AY18" s="79">
        <f>AX20</f>
        <v/>
      </c>
      <c r="AZ18" s="79">
        <f>AY20</f>
        <v/>
      </c>
      <c r="BA18" s="79">
        <f>AZ20</f>
        <v/>
      </c>
      <c r="BB18" s="79">
        <f>BA20</f>
        <v/>
      </c>
      <c r="BC18" s="79">
        <f>BB20</f>
        <v/>
      </c>
      <c r="BD18" s="79">
        <f>BC20</f>
        <v/>
      </c>
      <c r="BE18" s="79">
        <f>BD20</f>
        <v/>
      </c>
      <c r="BF18" s="79">
        <f>BE20</f>
        <v/>
      </c>
      <c r="BG18" s="79">
        <f>BF20</f>
        <v/>
      </c>
      <c r="BH18" s="79">
        <f>BG20</f>
        <v/>
      </c>
      <c r="BI18" s="79">
        <f>BH20</f>
        <v/>
      </c>
      <c r="BJ18" s="79">
        <f>BI20</f>
        <v/>
      </c>
      <c r="BK18" s="79">
        <f>BJ20</f>
        <v/>
      </c>
      <c r="BL18" s="79">
        <f>BK20</f>
        <v/>
      </c>
    </row>
    <row r="19">
      <c r="A19" s="42" t="inlineStr">
        <is>
          <t xml:space="preserve">    + Net Income месяца (из Налоги)</t>
        </is>
      </c>
      <c r="B19" s="43" t="inlineStr">
        <is>
          <t>млн ₽</t>
        </is>
      </c>
      <c r="C19" s="53">
        <f>SUM(BN19:BR19)</f>
        <v/>
      </c>
      <c r="D19" s="45" t="inlineStr"/>
      <c r="E19" s="88">
        <f>'Налоги'!E17</f>
        <v/>
      </c>
      <c r="F19" s="88">
        <f>'Налоги'!F17</f>
        <v/>
      </c>
      <c r="G19" s="88">
        <f>'Налоги'!G17</f>
        <v/>
      </c>
      <c r="H19" s="88">
        <f>'Налоги'!H17</f>
        <v/>
      </c>
      <c r="I19" s="88">
        <f>'Налоги'!I17</f>
        <v/>
      </c>
      <c r="J19" s="88">
        <f>'Налоги'!J17</f>
        <v/>
      </c>
      <c r="K19" s="88">
        <f>'Налоги'!K17</f>
        <v/>
      </c>
      <c r="L19" s="88">
        <f>'Налоги'!L17</f>
        <v/>
      </c>
      <c r="M19" s="88">
        <f>'Налоги'!M17</f>
        <v/>
      </c>
      <c r="N19" s="88">
        <f>'Налоги'!N17</f>
        <v/>
      </c>
      <c r="O19" s="88">
        <f>'Налоги'!O17</f>
        <v/>
      </c>
      <c r="P19" s="88">
        <f>'Налоги'!P17</f>
        <v/>
      </c>
      <c r="Q19" s="88">
        <f>'Налоги'!Q17</f>
        <v/>
      </c>
      <c r="R19" s="88">
        <f>'Налоги'!R17</f>
        <v/>
      </c>
      <c r="S19" s="88">
        <f>'Налоги'!S17</f>
        <v/>
      </c>
      <c r="T19" s="88">
        <f>'Налоги'!T17</f>
        <v/>
      </c>
      <c r="U19" s="88">
        <f>'Налоги'!U17</f>
        <v/>
      </c>
      <c r="V19" s="88">
        <f>'Налоги'!V17</f>
        <v/>
      </c>
      <c r="W19" s="88">
        <f>'Налоги'!W17</f>
        <v/>
      </c>
      <c r="X19" s="88">
        <f>'Налоги'!X17</f>
        <v/>
      </c>
      <c r="Y19" s="88">
        <f>'Налоги'!Y17</f>
        <v/>
      </c>
      <c r="Z19" s="88">
        <f>'Налоги'!Z17</f>
        <v/>
      </c>
      <c r="AA19" s="88">
        <f>'Налоги'!AA17</f>
        <v/>
      </c>
      <c r="AB19" s="88">
        <f>'Налоги'!AB17</f>
        <v/>
      </c>
      <c r="AC19" s="88">
        <f>'Налоги'!AC17</f>
        <v/>
      </c>
      <c r="AD19" s="88">
        <f>'Налоги'!AD17</f>
        <v/>
      </c>
      <c r="AE19" s="88">
        <f>'Налоги'!AE17</f>
        <v/>
      </c>
      <c r="AF19" s="88">
        <f>'Налоги'!AF17</f>
        <v/>
      </c>
      <c r="AG19" s="88">
        <f>'Налоги'!AG17</f>
        <v/>
      </c>
      <c r="AH19" s="88">
        <f>'Налоги'!AH17</f>
        <v/>
      </c>
      <c r="AI19" s="88">
        <f>'Налоги'!AI17</f>
        <v/>
      </c>
      <c r="AJ19" s="88">
        <f>'Налоги'!AJ17</f>
        <v/>
      </c>
      <c r="AK19" s="88">
        <f>'Налоги'!AK17</f>
        <v/>
      </c>
      <c r="AL19" s="88">
        <f>'Налоги'!AL17</f>
        <v/>
      </c>
      <c r="AM19" s="88">
        <f>'Налоги'!AM17</f>
        <v/>
      </c>
      <c r="AN19" s="88">
        <f>'Налоги'!AN17</f>
        <v/>
      </c>
      <c r="AO19" s="88">
        <f>'Налоги'!AO17</f>
        <v/>
      </c>
      <c r="AP19" s="88">
        <f>'Налоги'!AP17</f>
        <v/>
      </c>
      <c r="AQ19" s="88">
        <f>'Налоги'!AQ17</f>
        <v/>
      </c>
      <c r="AR19" s="88">
        <f>'Налоги'!AR17</f>
        <v/>
      </c>
      <c r="AS19" s="88">
        <f>'Налоги'!AS17</f>
        <v/>
      </c>
      <c r="AT19" s="88">
        <f>'Налоги'!AT17</f>
        <v/>
      </c>
      <c r="AU19" s="88">
        <f>'Налоги'!AU17</f>
        <v/>
      </c>
      <c r="AV19" s="88">
        <f>'Налоги'!AV17</f>
        <v/>
      </c>
      <c r="AW19" s="88">
        <f>'Налоги'!AW17</f>
        <v/>
      </c>
      <c r="AX19" s="88">
        <f>'Налоги'!AX17</f>
        <v/>
      </c>
      <c r="AY19" s="88">
        <f>'Налоги'!AY17</f>
        <v/>
      </c>
      <c r="AZ19" s="88">
        <f>'Налоги'!AZ17</f>
        <v/>
      </c>
      <c r="BA19" s="88">
        <f>'Налоги'!BA17</f>
        <v/>
      </c>
      <c r="BB19" s="88">
        <f>'Налоги'!BB17</f>
        <v/>
      </c>
      <c r="BC19" s="88">
        <f>'Налоги'!BC17</f>
        <v/>
      </c>
      <c r="BD19" s="88">
        <f>'Налоги'!BD17</f>
        <v/>
      </c>
      <c r="BE19" s="88">
        <f>'Налоги'!BE17</f>
        <v/>
      </c>
      <c r="BF19" s="88">
        <f>'Налоги'!BF17</f>
        <v/>
      </c>
      <c r="BG19" s="88">
        <f>'Налоги'!BG17</f>
        <v/>
      </c>
      <c r="BH19" s="88">
        <f>'Налоги'!BH17</f>
        <v/>
      </c>
      <c r="BI19" s="88">
        <f>'Налоги'!BI17</f>
        <v/>
      </c>
      <c r="BJ19" s="88">
        <f>'Налоги'!BJ17</f>
        <v/>
      </c>
      <c r="BK19" s="88">
        <f>'Налоги'!BK17</f>
        <v/>
      </c>
      <c r="BL19" s="88">
        <f>'Налоги'!BL17</f>
        <v/>
      </c>
      <c r="BN19" s="53">
        <f>SUM(E19:P19)</f>
        <v/>
      </c>
      <c r="BO19" s="53">
        <f>SUM(Q19:AB19)</f>
        <v/>
      </c>
      <c r="BP19" s="53">
        <f>SUM(AC19:AN19)</f>
        <v/>
      </c>
      <c r="BQ19" s="53">
        <f>SUM(AO19:AZ19)</f>
        <v/>
      </c>
      <c r="BR19" s="53">
        <f>SUM(BA19:BL19)</f>
        <v/>
      </c>
    </row>
    <row r="20">
      <c r="A20" s="65" t="inlineStr">
        <is>
          <t xml:space="preserve">    Нераспределённая прибыль (RE закр.)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86">
        <f>E18+E19</f>
        <v/>
      </c>
      <c r="F20" s="86">
        <f>F18+F19</f>
        <v/>
      </c>
      <c r="G20" s="86">
        <f>G18+G19</f>
        <v/>
      </c>
      <c r="H20" s="86">
        <f>H18+H19</f>
        <v/>
      </c>
      <c r="I20" s="86">
        <f>I18+I19</f>
        <v/>
      </c>
      <c r="J20" s="86">
        <f>J18+J19</f>
        <v/>
      </c>
      <c r="K20" s="86">
        <f>K18+K19</f>
        <v/>
      </c>
      <c r="L20" s="86">
        <f>L18+L19</f>
        <v/>
      </c>
      <c r="M20" s="86">
        <f>M18+M19</f>
        <v/>
      </c>
      <c r="N20" s="86">
        <f>N18+N19</f>
        <v/>
      </c>
      <c r="O20" s="86">
        <f>O18+O19</f>
        <v/>
      </c>
      <c r="P20" s="86">
        <f>P18+P19</f>
        <v/>
      </c>
      <c r="Q20" s="86">
        <f>Q18+Q19</f>
        <v/>
      </c>
      <c r="R20" s="86">
        <f>R18+R19</f>
        <v/>
      </c>
      <c r="S20" s="86">
        <f>S18+S19</f>
        <v/>
      </c>
      <c r="T20" s="86">
        <f>T18+T19</f>
        <v/>
      </c>
      <c r="U20" s="86">
        <f>U18+U19</f>
        <v/>
      </c>
      <c r="V20" s="86">
        <f>V18+V19</f>
        <v/>
      </c>
      <c r="W20" s="86">
        <f>W18+W19</f>
        <v/>
      </c>
      <c r="X20" s="86">
        <f>X18+X19</f>
        <v/>
      </c>
      <c r="Y20" s="86">
        <f>Y18+Y19</f>
        <v/>
      </c>
      <c r="Z20" s="86">
        <f>Z18+Z19</f>
        <v/>
      </c>
      <c r="AA20" s="86">
        <f>AA18+AA19</f>
        <v/>
      </c>
      <c r="AB20" s="86">
        <f>AB18+AB19</f>
        <v/>
      </c>
      <c r="AC20" s="86">
        <f>AC18+AC19</f>
        <v/>
      </c>
      <c r="AD20" s="86">
        <f>AD18+AD19</f>
        <v/>
      </c>
      <c r="AE20" s="86">
        <f>AE18+AE19</f>
        <v/>
      </c>
      <c r="AF20" s="86">
        <f>AF18+AF19</f>
        <v/>
      </c>
      <c r="AG20" s="86">
        <f>AG18+AG19</f>
        <v/>
      </c>
      <c r="AH20" s="86">
        <f>AH18+AH19</f>
        <v/>
      </c>
      <c r="AI20" s="86">
        <f>AI18+AI19</f>
        <v/>
      </c>
      <c r="AJ20" s="86">
        <f>AJ18+AJ19</f>
        <v/>
      </c>
      <c r="AK20" s="86">
        <f>AK18+AK19</f>
        <v/>
      </c>
      <c r="AL20" s="86">
        <f>AL18+AL19</f>
        <v/>
      </c>
      <c r="AM20" s="86">
        <f>AM18+AM19</f>
        <v/>
      </c>
      <c r="AN20" s="86">
        <f>AN18+AN19</f>
        <v/>
      </c>
      <c r="AO20" s="86">
        <f>AO18+AO19</f>
        <v/>
      </c>
      <c r="AP20" s="86">
        <f>AP18+AP19</f>
        <v/>
      </c>
      <c r="AQ20" s="86">
        <f>AQ18+AQ19</f>
        <v/>
      </c>
      <c r="AR20" s="86">
        <f>AR18+AR19</f>
        <v/>
      </c>
      <c r="AS20" s="86">
        <f>AS18+AS19</f>
        <v/>
      </c>
      <c r="AT20" s="86">
        <f>AT18+AT19</f>
        <v/>
      </c>
      <c r="AU20" s="86">
        <f>AU18+AU19</f>
        <v/>
      </c>
      <c r="AV20" s="86">
        <f>AV18+AV19</f>
        <v/>
      </c>
      <c r="AW20" s="86">
        <f>AW18+AW19</f>
        <v/>
      </c>
      <c r="AX20" s="86">
        <f>AX18+AX19</f>
        <v/>
      </c>
      <c r="AY20" s="86">
        <f>AY18+AY19</f>
        <v/>
      </c>
      <c r="AZ20" s="86">
        <f>AZ18+AZ19</f>
        <v/>
      </c>
      <c r="BA20" s="86">
        <f>BA18+BA19</f>
        <v/>
      </c>
      <c r="BB20" s="86">
        <f>BB18+BB19</f>
        <v/>
      </c>
      <c r="BC20" s="86">
        <f>BC18+BC19</f>
        <v/>
      </c>
      <c r="BD20" s="86">
        <f>BD18+BD19</f>
        <v/>
      </c>
      <c r="BE20" s="86">
        <f>BE18+BE19</f>
        <v/>
      </c>
      <c r="BF20" s="86">
        <f>BF18+BF19</f>
        <v/>
      </c>
      <c r="BG20" s="86">
        <f>BG18+BG19</f>
        <v/>
      </c>
      <c r="BH20" s="86">
        <f>BH18+BH19</f>
        <v/>
      </c>
      <c r="BI20" s="86">
        <f>BI18+BI19</f>
        <v/>
      </c>
      <c r="BJ20" s="86">
        <f>BJ18+BJ19</f>
        <v/>
      </c>
      <c r="BK20" s="86">
        <f>BK18+BK19</f>
        <v/>
      </c>
      <c r="BL20" s="86">
        <f>BL18+BL19</f>
        <v/>
      </c>
      <c r="BN20" s="53">
        <f>P20</f>
        <v/>
      </c>
      <c r="BO20" s="53">
        <f>AB20</f>
        <v/>
      </c>
      <c r="BP20" s="53">
        <f>AN20</f>
        <v/>
      </c>
      <c r="BQ20" s="53">
        <f>AZ20</f>
        <v/>
      </c>
      <c r="BR20" s="53">
        <f>BL20</f>
        <v/>
      </c>
    </row>
    <row r="21">
      <c r="A21" s="51" t="inlineStr">
        <is>
          <t>ИТОГО ПАССИВЫ</t>
        </is>
      </c>
      <c r="B21" s="52" t="inlineStr">
        <is>
          <t>млн ₽</t>
        </is>
      </c>
      <c r="C21" s="48" t="inlineStr">
        <is>
          <t>—</t>
        </is>
      </c>
      <c r="D21" s="45" t="inlineStr"/>
      <c r="E21" s="67">
        <f>E13+E14+E15+E16+E17+E20</f>
        <v/>
      </c>
      <c r="F21" s="67">
        <f>F13+F14+F15+F16+F17+F20</f>
        <v/>
      </c>
      <c r="G21" s="67">
        <f>G13+G14+G15+G16+G17+G20</f>
        <v/>
      </c>
      <c r="H21" s="67">
        <f>H13+H14+H15+H16+H17+H20</f>
        <v/>
      </c>
      <c r="I21" s="67">
        <f>I13+I14+I15+I16+I17+I20</f>
        <v/>
      </c>
      <c r="J21" s="67">
        <f>J13+J14+J15+J16+J17+J20</f>
        <v/>
      </c>
      <c r="K21" s="67">
        <f>K13+K14+K15+K16+K17+K20</f>
        <v/>
      </c>
      <c r="L21" s="67">
        <f>L13+L14+L15+L16+L17+L20</f>
        <v/>
      </c>
      <c r="M21" s="67">
        <f>M13+M14+M15+M16+M17+M20</f>
        <v/>
      </c>
      <c r="N21" s="67">
        <f>N13+N14+N15+N16+N17+N20</f>
        <v/>
      </c>
      <c r="O21" s="67">
        <f>O13+O14+O15+O16+O17+O20</f>
        <v/>
      </c>
      <c r="P21" s="67">
        <f>P13+P14+P15+P16+P17+P20</f>
        <v/>
      </c>
      <c r="Q21" s="67">
        <f>Q13+Q14+Q15+Q16+Q17+Q20</f>
        <v/>
      </c>
      <c r="R21" s="67">
        <f>R13+R14+R15+R16+R17+R20</f>
        <v/>
      </c>
      <c r="S21" s="67">
        <f>S13+S14+S15+S16+S17+S20</f>
        <v/>
      </c>
      <c r="T21" s="67">
        <f>T13+T14+T15+T16+T17+T20</f>
        <v/>
      </c>
      <c r="U21" s="67">
        <f>U13+U14+U15+U16+U17+U20</f>
        <v/>
      </c>
      <c r="V21" s="67">
        <f>V13+V14+V15+V16+V17+V20</f>
        <v/>
      </c>
      <c r="W21" s="67">
        <f>W13+W14+W15+W16+W17+W20</f>
        <v/>
      </c>
      <c r="X21" s="67">
        <f>X13+X14+X15+X16+X17+X20</f>
        <v/>
      </c>
      <c r="Y21" s="67">
        <f>Y13+Y14+Y15+Y16+Y17+Y20</f>
        <v/>
      </c>
      <c r="Z21" s="67">
        <f>Z13+Z14+Z15+Z16+Z17+Z20</f>
        <v/>
      </c>
      <c r="AA21" s="67">
        <f>AA13+AA14+AA15+AA16+AA17+AA20</f>
        <v/>
      </c>
      <c r="AB21" s="67">
        <f>AB13+AB14+AB15+AB16+AB17+AB20</f>
        <v/>
      </c>
      <c r="AC21" s="67">
        <f>AC13+AC14+AC15+AC16+AC17+AC20</f>
        <v/>
      </c>
      <c r="AD21" s="67">
        <f>AD13+AD14+AD15+AD16+AD17+AD20</f>
        <v/>
      </c>
      <c r="AE21" s="67">
        <f>AE13+AE14+AE15+AE16+AE17+AE20</f>
        <v/>
      </c>
      <c r="AF21" s="67">
        <f>AF13+AF14+AF15+AF16+AF17+AF20</f>
        <v/>
      </c>
      <c r="AG21" s="67">
        <f>AG13+AG14+AG15+AG16+AG17+AG20</f>
        <v/>
      </c>
      <c r="AH21" s="67">
        <f>AH13+AH14+AH15+AH16+AH17+AH20</f>
        <v/>
      </c>
      <c r="AI21" s="67">
        <f>AI13+AI14+AI15+AI16+AI17+AI20</f>
        <v/>
      </c>
      <c r="AJ21" s="67">
        <f>AJ13+AJ14+AJ15+AJ16+AJ17+AJ20</f>
        <v/>
      </c>
      <c r="AK21" s="67">
        <f>AK13+AK14+AK15+AK16+AK17+AK20</f>
        <v/>
      </c>
      <c r="AL21" s="67">
        <f>AL13+AL14+AL15+AL16+AL17+AL20</f>
        <v/>
      </c>
      <c r="AM21" s="67">
        <f>AM13+AM14+AM15+AM16+AM17+AM20</f>
        <v/>
      </c>
      <c r="AN21" s="67">
        <f>AN13+AN14+AN15+AN16+AN17+AN20</f>
        <v/>
      </c>
      <c r="AO21" s="67">
        <f>AO13+AO14+AO15+AO16+AO17+AO20</f>
        <v/>
      </c>
      <c r="AP21" s="67">
        <f>AP13+AP14+AP15+AP16+AP17+AP20</f>
        <v/>
      </c>
      <c r="AQ21" s="67">
        <f>AQ13+AQ14+AQ15+AQ16+AQ17+AQ20</f>
        <v/>
      </c>
      <c r="AR21" s="67">
        <f>AR13+AR14+AR15+AR16+AR17+AR20</f>
        <v/>
      </c>
      <c r="AS21" s="67">
        <f>AS13+AS14+AS15+AS16+AS17+AS20</f>
        <v/>
      </c>
      <c r="AT21" s="67">
        <f>AT13+AT14+AT15+AT16+AT17+AT20</f>
        <v/>
      </c>
      <c r="AU21" s="67">
        <f>AU13+AU14+AU15+AU16+AU17+AU20</f>
        <v/>
      </c>
      <c r="AV21" s="67">
        <f>AV13+AV14+AV15+AV16+AV17+AV20</f>
        <v/>
      </c>
      <c r="AW21" s="67">
        <f>AW13+AW14+AW15+AW16+AW17+AW20</f>
        <v/>
      </c>
      <c r="AX21" s="67">
        <f>AX13+AX14+AX15+AX16+AX17+AX20</f>
        <v/>
      </c>
      <c r="AY21" s="67">
        <f>AY13+AY14+AY15+AY16+AY17+AY20</f>
        <v/>
      </c>
      <c r="AZ21" s="67">
        <f>AZ13+AZ14+AZ15+AZ16+AZ17+AZ20</f>
        <v/>
      </c>
      <c r="BA21" s="67">
        <f>BA13+BA14+BA15+BA16+BA17+BA20</f>
        <v/>
      </c>
      <c r="BB21" s="67">
        <f>BB13+BB14+BB15+BB16+BB17+BB20</f>
        <v/>
      </c>
      <c r="BC21" s="67">
        <f>BC13+BC14+BC15+BC16+BC17+BC20</f>
        <v/>
      </c>
      <c r="BD21" s="67">
        <f>BD13+BD14+BD15+BD16+BD17+BD20</f>
        <v/>
      </c>
      <c r="BE21" s="67">
        <f>BE13+BE14+BE15+BE16+BE17+BE20</f>
        <v/>
      </c>
      <c r="BF21" s="67">
        <f>BF13+BF14+BF15+BF16+BF17+BF20</f>
        <v/>
      </c>
      <c r="BG21" s="67">
        <f>BG13+BG14+BG15+BG16+BG17+BG20</f>
        <v/>
      </c>
      <c r="BH21" s="67">
        <f>BH13+BH14+BH15+BH16+BH17+BH20</f>
        <v/>
      </c>
      <c r="BI21" s="67">
        <f>BI13+BI14+BI15+BI16+BI17+BI20</f>
        <v/>
      </c>
      <c r="BJ21" s="67">
        <f>BJ13+BJ14+BJ15+BJ16+BJ17+BJ20</f>
        <v/>
      </c>
      <c r="BK21" s="67">
        <f>BK13+BK14+BK15+BK16+BK17+BK20</f>
        <v/>
      </c>
      <c r="BL21" s="67">
        <f>BL13+BL14+BL15+BL16+BL17+BL20</f>
        <v/>
      </c>
      <c r="BN21" s="53">
        <f>P21</f>
        <v/>
      </c>
      <c r="BO21" s="53">
        <f>AB21</f>
        <v/>
      </c>
      <c r="BP21" s="53">
        <f>AN21</f>
        <v/>
      </c>
      <c r="BQ21" s="53">
        <f>AZ21</f>
        <v/>
      </c>
      <c r="BR21" s="53">
        <f>BL21</f>
        <v/>
      </c>
    </row>
    <row r="23" ht="22" customHeight="1">
      <c r="A23" s="78" t="inlineStr">
        <is>
          <t xml:space="preserve">  ПРОВЕРКА: АКТИВЫ = ПАССИВЫ</t>
        </is>
      </c>
    </row>
    <row r="24">
      <c r="A24" s="80" t="inlineStr">
        <is>
          <t>Разница (должна быть 0)</t>
        </is>
      </c>
      <c r="B24" s="81" t="inlineStr">
        <is>
          <t>млн ₽</t>
        </is>
      </c>
      <c r="C24" s="48" t="inlineStr">
        <is>
          <t>—</t>
        </is>
      </c>
      <c r="D24" s="45" t="inlineStr"/>
      <c r="E24" s="95">
        <f>E10-E21</f>
        <v/>
      </c>
      <c r="F24" s="95">
        <f>F10-F21</f>
        <v/>
      </c>
      <c r="G24" s="95">
        <f>G10-G21</f>
        <v/>
      </c>
      <c r="H24" s="95">
        <f>H10-H21</f>
        <v/>
      </c>
      <c r="I24" s="95">
        <f>I10-I21</f>
        <v/>
      </c>
      <c r="J24" s="95">
        <f>J10-J21</f>
        <v/>
      </c>
      <c r="K24" s="95">
        <f>K10-K21</f>
        <v/>
      </c>
      <c r="L24" s="95">
        <f>L10-L21</f>
        <v/>
      </c>
      <c r="M24" s="95">
        <f>M10-M21</f>
        <v/>
      </c>
      <c r="N24" s="95">
        <f>N10-N21</f>
        <v/>
      </c>
      <c r="O24" s="95">
        <f>O10-O21</f>
        <v/>
      </c>
      <c r="P24" s="95">
        <f>P10-P21</f>
        <v/>
      </c>
      <c r="Q24" s="95">
        <f>Q10-Q21</f>
        <v/>
      </c>
      <c r="R24" s="95">
        <f>R10-R21</f>
        <v/>
      </c>
      <c r="S24" s="95">
        <f>S10-S21</f>
        <v/>
      </c>
      <c r="T24" s="95">
        <f>T10-T21</f>
        <v/>
      </c>
      <c r="U24" s="95">
        <f>U10-U21</f>
        <v/>
      </c>
      <c r="V24" s="95">
        <f>V10-V21</f>
        <v/>
      </c>
      <c r="W24" s="95">
        <f>W10-W21</f>
        <v/>
      </c>
      <c r="X24" s="95">
        <f>X10-X21</f>
        <v/>
      </c>
      <c r="Y24" s="95">
        <f>Y10-Y21</f>
        <v/>
      </c>
      <c r="Z24" s="95">
        <f>Z10-Z21</f>
        <v/>
      </c>
      <c r="AA24" s="95">
        <f>AA10-AA21</f>
        <v/>
      </c>
      <c r="AB24" s="95">
        <f>AB10-AB21</f>
        <v/>
      </c>
      <c r="AC24" s="95">
        <f>AC10-AC21</f>
        <v/>
      </c>
      <c r="AD24" s="95">
        <f>AD10-AD21</f>
        <v/>
      </c>
      <c r="AE24" s="95">
        <f>AE10-AE21</f>
        <v/>
      </c>
      <c r="AF24" s="95">
        <f>AF10-AF21</f>
        <v/>
      </c>
      <c r="AG24" s="95">
        <f>AG10-AG21</f>
        <v/>
      </c>
      <c r="AH24" s="95">
        <f>AH10-AH21</f>
        <v/>
      </c>
      <c r="AI24" s="95">
        <f>AI10-AI21</f>
        <v/>
      </c>
      <c r="AJ24" s="95">
        <f>AJ10-AJ21</f>
        <v/>
      </c>
      <c r="AK24" s="95">
        <f>AK10-AK21</f>
        <v/>
      </c>
      <c r="AL24" s="95">
        <f>AL10-AL21</f>
        <v/>
      </c>
      <c r="AM24" s="95">
        <f>AM10-AM21</f>
        <v/>
      </c>
      <c r="AN24" s="95">
        <f>AN10-AN21</f>
        <v/>
      </c>
      <c r="AO24" s="95">
        <f>AO10-AO21</f>
        <v/>
      </c>
      <c r="AP24" s="95">
        <f>AP10-AP21</f>
        <v/>
      </c>
      <c r="AQ24" s="95">
        <f>AQ10-AQ21</f>
        <v/>
      </c>
      <c r="AR24" s="95">
        <f>AR10-AR21</f>
        <v/>
      </c>
      <c r="AS24" s="95">
        <f>AS10-AS21</f>
        <v/>
      </c>
      <c r="AT24" s="95">
        <f>AT10-AT21</f>
        <v/>
      </c>
      <c r="AU24" s="95">
        <f>AU10-AU21</f>
        <v/>
      </c>
      <c r="AV24" s="95">
        <f>AV10-AV21</f>
        <v/>
      </c>
      <c r="AW24" s="95">
        <f>AW10-AW21</f>
        <v/>
      </c>
      <c r="AX24" s="95">
        <f>AX10-AX21</f>
        <v/>
      </c>
      <c r="AY24" s="95">
        <f>AY10-AY21</f>
        <v/>
      </c>
      <c r="AZ24" s="95">
        <f>AZ10-AZ21</f>
        <v/>
      </c>
      <c r="BA24" s="95">
        <f>BA10-BA21</f>
        <v/>
      </c>
      <c r="BB24" s="95">
        <f>BB10-BB21</f>
        <v/>
      </c>
      <c r="BC24" s="95">
        <f>BC10-BC21</f>
        <v/>
      </c>
      <c r="BD24" s="95">
        <f>BD10-BD21</f>
        <v/>
      </c>
      <c r="BE24" s="95">
        <f>BE10-BE21</f>
        <v/>
      </c>
      <c r="BF24" s="95">
        <f>BF10-BF21</f>
        <v/>
      </c>
      <c r="BG24" s="95">
        <f>BG10-BG21</f>
        <v/>
      </c>
      <c r="BH24" s="95">
        <f>BH10-BH21</f>
        <v/>
      </c>
      <c r="BI24" s="95">
        <f>BI10-BI21</f>
        <v/>
      </c>
      <c r="BJ24" s="95">
        <f>BJ10-BJ21</f>
        <v/>
      </c>
      <c r="BK24" s="95">
        <f>BK10-BK21</f>
        <v/>
      </c>
      <c r="BL24" s="95">
        <f>BL10-BL21</f>
        <v/>
      </c>
      <c r="BN24" s="95">
        <f>BN10-BN21</f>
        <v/>
      </c>
      <c r="BO24" s="95">
        <f>BO10-BO21</f>
        <v/>
      </c>
      <c r="BP24" s="95">
        <f>BP10-BP21</f>
        <v/>
      </c>
      <c r="BQ24" s="95">
        <f>BQ10-BQ21</f>
        <v/>
      </c>
      <c r="BR24" s="95">
        <f>BR10-BR21</f>
        <v/>
      </c>
    </row>
    <row r="26" ht="22" customHeight="1">
      <c r="A26" s="41" t="inlineStr">
        <is>
          <t xml:space="preserve">  ΔNWC (изменение оборотного капитала → Cash Flow)</t>
        </is>
      </c>
    </row>
    <row r="27">
      <c r="A27" s="42" t="inlineStr">
        <is>
          <t xml:space="preserve">    Net Working Capital (AR + Inventory − AP)</t>
        </is>
      </c>
      <c r="B27" s="43" t="inlineStr">
        <is>
          <t>млн ₽</t>
        </is>
      </c>
      <c r="C27" s="48" t="inlineStr">
        <is>
          <t>—</t>
        </is>
      </c>
      <c r="D27" s="45" t="inlineStr"/>
      <c r="E27" s="79">
        <f>E8+E7-E13</f>
        <v/>
      </c>
      <c r="F27" s="79">
        <f>F8+F7-F13</f>
        <v/>
      </c>
      <c r="G27" s="79">
        <f>G8+G7-G13</f>
        <v/>
      </c>
      <c r="H27" s="79">
        <f>H8+H7-H13</f>
        <v/>
      </c>
      <c r="I27" s="79">
        <f>I8+I7-I13</f>
        <v/>
      </c>
      <c r="J27" s="79">
        <f>J8+J7-J13</f>
        <v/>
      </c>
      <c r="K27" s="79">
        <f>K8+K7-K13</f>
        <v/>
      </c>
      <c r="L27" s="79">
        <f>L8+L7-L13</f>
        <v/>
      </c>
      <c r="M27" s="79">
        <f>M8+M7-M13</f>
        <v/>
      </c>
      <c r="N27" s="79">
        <f>N8+N7-N13</f>
        <v/>
      </c>
      <c r="O27" s="79">
        <f>O8+O7-O13</f>
        <v/>
      </c>
      <c r="P27" s="79">
        <f>P8+P7-P13</f>
        <v/>
      </c>
      <c r="Q27" s="79">
        <f>Q8+Q7-Q13</f>
        <v/>
      </c>
      <c r="R27" s="79">
        <f>R8+R7-R13</f>
        <v/>
      </c>
      <c r="S27" s="79">
        <f>S8+S7-S13</f>
        <v/>
      </c>
      <c r="T27" s="79">
        <f>T8+T7-T13</f>
        <v/>
      </c>
      <c r="U27" s="79">
        <f>U8+U7-U13</f>
        <v/>
      </c>
      <c r="V27" s="79">
        <f>V8+V7-V13</f>
        <v/>
      </c>
      <c r="W27" s="79">
        <f>W8+W7-W13</f>
        <v/>
      </c>
      <c r="X27" s="79">
        <f>X8+X7-X13</f>
        <v/>
      </c>
      <c r="Y27" s="79">
        <f>Y8+Y7-Y13</f>
        <v/>
      </c>
      <c r="Z27" s="79">
        <f>Z8+Z7-Z13</f>
        <v/>
      </c>
      <c r="AA27" s="79">
        <f>AA8+AA7-AA13</f>
        <v/>
      </c>
      <c r="AB27" s="79">
        <f>AB8+AB7-AB13</f>
        <v/>
      </c>
      <c r="AC27" s="79">
        <f>AC8+AC7-AC13</f>
        <v/>
      </c>
      <c r="AD27" s="79">
        <f>AD8+AD7-AD13</f>
        <v/>
      </c>
      <c r="AE27" s="79">
        <f>AE8+AE7-AE13</f>
        <v/>
      </c>
      <c r="AF27" s="79">
        <f>AF8+AF7-AF13</f>
        <v/>
      </c>
      <c r="AG27" s="79">
        <f>AG8+AG7-AG13</f>
        <v/>
      </c>
      <c r="AH27" s="79">
        <f>AH8+AH7-AH13</f>
        <v/>
      </c>
      <c r="AI27" s="79">
        <f>AI8+AI7-AI13</f>
        <v/>
      </c>
      <c r="AJ27" s="79">
        <f>AJ8+AJ7-AJ13</f>
        <v/>
      </c>
      <c r="AK27" s="79">
        <f>AK8+AK7-AK13</f>
        <v/>
      </c>
      <c r="AL27" s="79">
        <f>AL8+AL7-AL13</f>
        <v/>
      </c>
      <c r="AM27" s="79">
        <f>AM8+AM7-AM13</f>
        <v/>
      </c>
      <c r="AN27" s="79">
        <f>AN8+AN7-AN13</f>
        <v/>
      </c>
      <c r="AO27" s="79">
        <f>AO8+AO7-AO13</f>
        <v/>
      </c>
      <c r="AP27" s="79">
        <f>AP8+AP7-AP13</f>
        <v/>
      </c>
      <c r="AQ27" s="79">
        <f>AQ8+AQ7-AQ13</f>
        <v/>
      </c>
      <c r="AR27" s="79">
        <f>AR8+AR7-AR13</f>
        <v/>
      </c>
      <c r="AS27" s="79">
        <f>AS8+AS7-AS13</f>
        <v/>
      </c>
      <c r="AT27" s="79">
        <f>AT8+AT7-AT13</f>
        <v/>
      </c>
      <c r="AU27" s="79">
        <f>AU8+AU7-AU13</f>
        <v/>
      </c>
      <c r="AV27" s="79">
        <f>AV8+AV7-AV13</f>
        <v/>
      </c>
      <c r="AW27" s="79">
        <f>AW8+AW7-AW13</f>
        <v/>
      </c>
      <c r="AX27" s="79">
        <f>AX8+AX7-AX13</f>
        <v/>
      </c>
      <c r="AY27" s="79">
        <f>AY8+AY7-AY13</f>
        <v/>
      </c>
      <c r="AZ27" s="79">
        <f>AZ8+AZ7-AZ13</f>
        <v/>
      </c>
      <c r="BA27" s="79">
        <f>BA8+BA7-BA13</f>
        <v/>
      </c>
      <c r="BB27" s="79">
        <f>BB8+BB7-BB13</f>
        <v/>
      </c>
      <c r="BC27" s="79">
        <f>BC8+BC7-BC13</f>
        <v/>
      </c>
      <c r="BD27" s="79">
        <f>BD8+BD7-BD13</f>
        <v/>
      </c>
      <c r="BE27" s="79">
        <f>BE8+BE7-BE13</f>
        <v/>
      </c>
      <c r="BF27" s="79">
        <f>BF8+BF7-BF13</f>
        <v/>
      </c>
      <c r="BG27" s="79">
        <f>BG8+BG7-BG13</f>
        <v/>
      </c>
      <c r="BH27" s="79">
        <f>BH8+BH7-BH13</f>
        <v/>
      </c>
      <c r="BI27" s="79">
        <f>BI8+BI7-BI13</f>
        <v/>
      </c>
      <c r="BJ27" s="79">
        <f>BJ8+BJ7-BJ13</f>
        <v/>
      </c>
      <c r="BK27" s="79">
        <f>BK8+BK7-BK13</f>
        <v/>
      </c>
      <c r="BL27" s="79">
        <f>BL8+BL7-BL13</f>
        <v/>
      </c>
      <c r="BN27" s="53">
        <f>P27</f>
        <v/>
      </c>
      <c r="BO27" s="53">
        <f>AB27</f>
        <v/>
      </c>
      <c r="BP27" s="53">
        <f>AN27</f>
        <v/>
      </c>
      <c r="BQ27" s="53">
        <f>AZ27</f>
        <v/>
      </c>
      <c r="BR27" s="53">
        <f>BL27</f>
        <v/>
      </c>
    </row>
    <row r="28">
      <c r="A28" s="51" t="inlineStr">
        <is>
          <t xml:space="preserve">    ΔNWC = NWC(мес) − NWC(пред.мес)</t>
        </is>
      </c>
      <c r="B28" s="52" t="inlineStr">
        <is>
          <t>млн ₽</t>
        </is>
      </c>
      <c r="C28" s="53">
        <f>SUM(BN28:BR28)</f>
        <v/>
      </c>
      <c r="D28" s="45" t="inlineStr"/>
      <c r="E28" s="67">
        <f>E27</f>
        <v/>
      </c>
      <c r="F28" s="67">
        <f>F27-E27</f>
        <v/>
      </c>
      <c r="G28" s="67">
        <f>G27-F27</f>
        <v/>
      </c>
      <c r="H28" s="67">
        <f>H27-G27</f>
        <v/>
      </c>
      <c r="I28" s="67">
        <f>I27-H27</f>
        <v/>
      </c>
      <c r="J28" s="67">
        <f>J27-I27</f>
        <v/>
      </c>
      <c r="K28" s="67">
        <f>K27-J27</f>
        <v/>
      </c>
      <c r="L28" s="67">
        <f>L27-K27</f>
        <v/>
      </c>
      <c r="M28" s="67">
        <f>M27-L27</f>
        <v/>
      </c>
      <c r="N28" s="67">
        <f>N27-M27</f>
        <v/>
      </c>
      <c r="O28" s="67">
        <f>O27-N27</f>
        <v/>
      </c>
      <c r="P28" s="67">
        <f>P27-O27</f>
        <v/>
      </c>
      <c r="Q28" s="67">
        <f>Q27-P27</f>
        <v/>
      </c>
      <c r="R28" s="67">
        <f>R27-Q27</f>
        <v/>
      </c>
      <c r="S28" s="67">
        <f>S27-R27</f>
        <v/>
      </c>
      <c r="T28" s="67">
        <f>T27-S27</f>
        <v/>
      </c>
      <c r="U28" s="67">
        <f>U27-T27</f>
        <v/>
      </c>
      <c r="V28" s="67">
        <f>V27-U27</f>
        <v/>
      </c>
      <c r="W28" s="67">
        <f>W27-V27</f>
        <v/>
      </c>
      <c r="X28" s="67">
        <f>X27-W27</f>
        <v/>
      </c>
      <c r="Y28" s="67">
        <f>Y27-X27</f>
        <v/>
      </c>
      <c r="Z28" s="67">
        <f>Z27-Y27</f>
        <v/>
      </c>
      <c r="AA28" s="67">
        <f>AA27-Z27</f>
        <v/>
      </c>
      <c r="AB28" s="67">
        <f>AB27-AA27</f>
        <v/>
      </c>
      <c r="AC28" s="67">
        <f>AC27-AB27</f>
        <v/>
      </c>
      <c r="AD28" s="67">
        <f>AD27-AC27</f>
        <v/>
      </c>
      <c r="AE28" s="67">
        <f>AE27-AD27</f>
        <v/>
      </c>
      <c r="AF28" s="67">
        <f>AF27-AE27</f>
        <v/>
      </c>
      <c r="AG28" s="67">
        <f>AG27-AF27</f>
        <v/>
      </c>
      <c r="AH28" s="67">
        <f>AH27-AG27</f>
        <v/>
      </c>
      <c r="AI28" s="67">
        <f>AI27-AH27</f>
        <v/>
      </c>
      <c r="AJ28" s="67">
        <f>AJ27-AI27</f>
        <v/>
      </c>
      <c r="AK28" s="67">
        <f>AK27-AJ27</f>
        <v/>
      </c>
      <c r="AL28" s="67">
        <f>AL27-AK27</f>
        <v/>
      </c>
      <c r="AM28" s="67">
        <f>AM27-AL27</f>
        <v/>
      </c>
      <c r="AN28" s="67">
        <f>AN27-AM27</f>
        <v/>
      </c>
      <c r="AO28" s="67">
        <f>AO27-AN27</f>
        <v/>
      </c>
      <c r="AP28" s="67">
        <f>AP27-AO27</f>
        <v/>
      </c>
      <c r="AQ28" s="67">
        <f>AQ27-AP27</f>
        <v/>
      </c>
      <c r="AR28" s="67">
        <f>AR27-AQ27</f>
        <v/>
      </c>
      <c r="AS28" s="67">
        <f>AS27-AR27</f>
        <v/>
      </c>
      <c r="AT28" s="67">
        <f>AT27-AS27</f>
        <v/>
      </c>
      <c r="AU28" s="67">
        <f>AU27-AT27</f>
        <v/>
      </c>
      <c r="AV28" s="67">
        <f>AV27-AU27</f>
        <v/>
      </c>
      <c r="AW28" s="67">
        <f>AW27-AV27</f>
        <v/>
      </c>
      <c r="AX28" s="67">
        <f>AX27-AW27</f>
        <v/>
      </c>
      <c r="AY28" s="67">
        <f>AY27-AX27</f>
        <v/>
      </c>
      <c r="AZ28" s="67">
        <f>AZ27-AY27</f>
        <v/>
      </c>
      <c r="BA28" s="67">
        <f>BA27-AZ27</f>
        <v/>
      </c>
      <c r="BB28" s="67">
        <f>BB27-BA27</f>
        <v/>
      </c>
      <c r="BC28" s="67">
        <f>BC27-BB27</f>
        <v/>
      </c>
      <c r="BD28" s="67">
        <f>BD27-BC27</f>
        <v/>
      </c>
      <c r="BE28" s="67">
        <f>BE27-BD27</f>
        <v/>
      </c>
      <c r="BF28" s="67">
        <f>BF27-BE27</f>
        <v/>
      </c>
      <c r="BG28" s="67">
        <f>BG27-BF27</f>
        <v/>
      </c>
      <c r="BH28" s="67">
        <f>BH27-BG27</f>
        <v/>
      </c>
      <c r="BI28" s="67">
        <f>BI27-BH27</f>
        <v/>
      </c>
      <c r="BJ28" s="67">
        <f>BJ27-BI27</f>
        <v/>
      </c>
      <c r="BK28" s="67">
        <f>BK27-BJ27</f>
        <v/>
      </c>
      <c r="BL28" s="67">
        <f>BL27-BK27</f>
        <v/>
      </c>
      <c r="BN28" s="53">
        <f>SUM(E28:P28)</f>
        <v/>
      </c>
      <c r="BO28" s="53">
        <f>SUM(Q28:AB28)</f>
        <v/>
      </c>
      <c r="BP28" s="53">
        <f>SUM(AC28:AN28)</f>
        <v/>
      </c>
      <c r="BQ28" s="53">
        <f>SUM(AO28:AZ28)</f>
        <v/>
      </c>
      <c r="BR28" s="53">
        <f>SUM(BA28:BL28)</f>
        <v/>
      </c>
    </row>
  </sheetData>
  <mergeCells count="6">
    <mergeCell ref="A2:BR2"/>
    <mergeCell ref="A5:BR5"/>
    <mergeCell ref="A23:BR23"/>
    <mergeCell ref="A1:BR1"/>
    <mergeCell ref="A12:BR12"/>
    <mergeCell ref="A26:BR2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0"/>
    <pageSetUpPr/>
  </sheetPr>
  <dimension ref="A1:BR57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CASH FLOW (косвенный, помесячно) + DCF</t>
        </is>
      </c>
    </row>
    <row r="2" ht="18" customHeight="1">
      <c r="A2" s="38" t="inlineStr">
        <is>
          <t xml:space="preserve">  ⚫ CFO/CFI/CFF из P&amp;L/CAPEX/Баланс | 🔴 Closing Cash = Cash баланса | DCF помесячный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ОПЕРАЦИОННЫЙ ПОТОК (CFO)</t>
        </is>
      </c>
    </row>
    <row r="6">
      <c r="A6" s="51" t="inlineStr">
        <is>
          <t>Net Income (из Налоги)</t>
        </is>
      </c>
      <c r="B6" s="96" t="inlineStr">
        <is>
          <t>млн ₽</t>
        </is>
      </c>
      <c r="C6" s="67">
        <f>SUM(BN6:BR6)</f>
        <v/>
      </c>
      <c r="D6" s="45" t="inlineStr"/>
      <c r="E6" s="67">
        <f>Налоги!E17</f>
        <v/>
      </c>
      <c r="F6" s="67">
        <f>Налоги!F17</f>
        <v/>
      </c>
      <c r="G6" s="67">
        <f>Налоги!G17</f>
        <v/>
      </c>
      <c r="H6" s="67">
        <f>Налоги!H17</f>
        <v/>
      </c>
      <c r="I6" s="67">
        <f>Налоги!I17</f>
        <v/>
      </c>
      <c r="J6" s="67">
        <f>Налоги!J17</f>
        <v/>
      </c>
      <c r="K6" s="67">
        <f>Налоги!K17</f>
        <v/>
      </c>
      <c r="L6" s="67">
        <f>Налоги!L17</f>
        <v/>
      </c>
      <c r="M6" s="67">
        <f>Налоги!M17</f>
        <v/>
      </c>
      <c r="N6" s="67">
        <f>Налоги!N17</f>
        <v/>
      </c>
      <c r="O6" s="67">
        <f>Налоги!O17</f>
        <v/>
      </c>
      <c r="P6" s="67">
        <f>Налоги!P17</f>
        <v/>
      </c>
      <c r="Q6" s="67">
        <f>Налоги!Q17</f>
        <v/>
      </c>
      <c r="R6" s="67">
        <f>Налоги!R17</f>
        <v/>
      </c>
      <c r="S6" s="67">
        <f>Налоги!S17</f>
        <v/>
      </c>
      <c r="T6" s="67">
        <f>Налоги!T17</f>
        <v/>
      </c>
      <c r="U6" s="67">
        <f>Налоги!U17</f>
        <v/>
      </c>
      <c r="V6" s="67">
        <f>Налоги!V17</f>
        <v/>
      </c>
      <c r="W6" s="67">
        <f>Налоги!W17</f>
        <v/>
      </c>
      <c r="X6" s="67">
        <f>Налоги!X17</f>
        <v/>
      </c>
      <c r="Y6" s="67">
        <f>Налоги!Y17</f>
        <v/>
      </c>
      <c r="Z6" s="67">
        <f>Налоги!Z17</f>
        <v/>
      </c>
      <c r="AA6" s="67">
        <f>Налоги!AA17</f>
        <v/>
      </c>
      <c r="AB6" s="67">
        <f>Налоги!AB17</f>
        <v/>
      </c>
      <c r="AC6" s="67">
        <f>Налоги!AC17</f>
        <v/>
      </c>
      <c r="AD6" s="67">
        <f>Налоги!AD17</f>
        <v/>
      </c>
      <c r="AE6" s="67">
        <f>Налоги!AE17</f>
        <v/>
      </c>
      <c r="AF6" s="67">
        <f>Налоги!AF17</f>
        <v/>
      </c>
      <c r="AG6" s="67">
        <f>Налоги!AG17</f>
        <v/>
      </c>
      <c r="AH6" s="67">
        <f>Налоги!AH17</f>
        <v/>
      </c>
      <c r="AI6" s="67">
        <f>Налоги!AI17</f>
        <v/>
      </c>
      <c r="AJ6" s="67">
        <f>Налоги!AJ17</f>
        <v/>
      </c>
      <c r="AK6" s="67">
        <f>Налоги!AK17</f>
        <v/>
      </c>
      <c r="AL6" s="67">
        <f>Налоги!AL17</f>
        <v/>
      </c>
      <c r="AM6" s="67">
        <f>Налоги!AM17</f>
        <v/>
      </c>
      <c r="AN6" s="67">
        <f>Налоги!AN17</f>
        <v/>
      </c>
      <c r="AO6" s="67">
        <f>Налоги!AO17</f>
        <v/>
      </c>
      <c r="AP6" s="67">
        <f>Налоги!AP17</f>
        <v/>
      </c>
      <c r="AQ6" s="67">
        <f>Налоги!AQ17</f>
        <v/>
      </c>
      <c r="AR6" s="67">
        <f>Налоги!AR17</f>
        <v/>
      </c>
      <c r="AS6" s="67">
        <f>Налоги!AS17</f>
        <v/>
      </c>
      <c r="AT6" s="67">
        <f>Налоги!AT17</f>
        <v/>
      </c>
      <c r="AU6" s="67">
        <f>Налоги!AU17</f>
        <v/>
      </c>
      <c r="AV6" s="67">
        <f>Налоги!AV17</f>
        <v/>
      </c>
      <c r="AW6" s="67">
        <f>Налоги!AW17</f>
        <v/>
      </c>
      <c r="AX6" s="67">
        <f>Налоги!AX17</f>
        <v/>
      </c>
      <c r="AY6" s="67">
        <f>Налоги!AY17</f>
        <v/>
      </c>
      <c r="AZ6" s="67">
        <f>Налоги!AZ17</f>
        <v/>
      </c>
      <c r="BA6" s="67">
        <f>Налоги!BA17</f>
        <v/>
      </c>
      <c r="BB6" s="67">
        <f>Налоги!BB17</f>
        <v/>
      </c>
      <c r="BC6" s="67">
        <f>Налоги!BC17</f>
        <v/>
      </c>
      <c r="BD6" s="67">
        <f>Налоги!BD17</f>
        <v/>
      </c>
      <c r="BE6" s="67">
        <f>Налоги!BE17</f>
        <v/>
      </c>
      <c r="BF6" s="67">
        <f>Налоги!BF17</f>
        <v/>
      </c>
      <c r="BG6" s="67">
        <f>Налоги!BG17</f>
        <v/>
      </c>
      <c r="BH6" s="67">
        <f>Налоги!BH17</f>
        <v/>
      </c>
      <c r="BI6" s="67">
        <f>Налоги!BI17</f>
        <v/>
      </c>
      <c r="BJ6" s="67">
        <f>Налоги!BJ17</f>
        <v/>
      </c>
      <c r="BK6" s="67">
        <f>Налоги!BK17</f>
        <v/>
      </c>
      <c r="BL6" s="67">
        <f>Налоги!BL17</f>
        <v/>
      </c>
      <c r="BN6" s="67">
        <f>SUM(E6:P6)</f>
        <v/>
      </c>
      <c r="BO6" s="67">
        <f>SUM(Q6:AB6)</f>
        <v/>
      </c>
      <c r="BP6" s="67">
        <f>SUM(AC6:AN6)</f>
        <v/>
      </c>
      <c r="BQ6" s="67">
        <f>SUM(AO6:AZ6)</f>
        <v/>
      </c>
      <c r="BR6" s="67">
        <f>SUM(BA6:BL6)</f>
        <v/>
      </c>
    </row>
    <row r="7">
      <c r="A7" s="93" t="inlineStr">
        <is>
          <t>+ D&amp;A (из CAPEX &amp; D&amp;A)</t>
        </is>
      </c>
      <c r="B7" s="97" t="inlineStr">
        <is>
          <t>млн ₽</t>
        </is>
      </c>
      <c r="C7" s="53">
        <f>SUM(BN7:BR7)</f>
        <v/>
      </c>
      <c r="D7" s="45" t="inlineStr"/>
      <c r="E7" s="53">
        <f>'CAPEX &amp; D&amp;A'!E29</f>
        <v/>
      </c>
      <c r="F7" s="53">
        <f>'CAPEX &amp; D&amp;A'!F29</f>
        <v/>
      </c>
      <c r="G7" s="53">
        <f>'CAPEX &amp; D&amp;A'!G29</f>
        <v/>
      </c>
      <c r="H7" s="53">
        <f>'CAPEX &amp; D&amp;A'!H29</f>
        <v/>
      </c>
      <c r="I7" s="53">
        <f>'CAPEX &amp; D&amp;A'!I29</f>
        <v/>
      </c>
      <c r="J7" s="53">
        <f>'CAPEX &amp; D&amp;A'!J29</f>
        <v/>
      </c>
      <c r="K7" s="53">
        <f>'CAPEX &amp; D&amp;A'!K29</f>
        <v/>
      </c>
      <c r="L7" s="53">
        <f>'CAPEX &amp; D&amp;A'!L29</f>
        <v/>
      </c>
      <c r="M7" s="53">
        <f>'CAPEX &amp; D&amp;A'!M29</f>
        <v/>
      </c>
      <c r="N7" s="53">
        <f>'CAPEX &amp; D&amp;A'!N29</f>
        <v/>
      </c>
      <c r="O7" s="53">
        <f>'CAPEX &amp; D&amp;A'!O29</f>
        <v/>
      </c>
      <c r="P7" s="53">
        <f>'CAPEX &amp; D&amp;A'!P29</f>
        <v/>
      </c>
      <c r="Q7" s="53">
        <f>'CAPEX &amp; D&amp;A'!Q29</f>
        <v/>
      </c>
      <c r="R7" s="53">
        <f>'CAPEX &amp; D&amp;A'!R29</f>
        <v/>
      </c>
      <c r="S7" s="53">
        <f>'CAPEX &amp; D&amp;A'!S29</f>
        <v/>
      </c>
      <c r="T7" s="53">
        <f>'CAPEX &amp; D&amp;A'!T29</f>
        <v/>
      </c>
      <c r="U7" s="53">
        <f>'CAPEX &amp; D&amp;A'!U29</f>
        <v/>
      </c>
      <c r="V7" s="53">
        <f>'CAPEX &amp; D&amp;A'!V29</f>
        <v/>
      </c>
      <c r="W7" s="53">
        <f>'CAPEX &amp; D&amp;A'!W29</f>
        <v/>
      </c>
      <c r="X7" s="53">
        <f>'CAPEX &amp; D&amp;A'!X29</f>
        <v/>
      </c>
      <c r="Y7" s="53">
        <f>'CAPEX &amp; D&amp;A'!Y29</f>
        <v/>
      </c>
      <c r="Z7" s="53">
        <f>'CAPEX &amp; D&amp;A'!Z29</f>
        <v/>
      </c>
      <c r="AA7" s="53">
        <f>'CAPEX &amp; D&amp;A'!AA29</f>
        <v/>
      </c>
      <c r="AB7" s="53">
        <f>'CAPEX &amp; D&amp;A'!AB29</f>
        <v/>
      </c>
      <c r="AC7" s="53">
        <f>'CAPEX &amp; D&amp;A'!AC29</f>
        <v/>
      </c>
      <c r="AD7" s="53">
        <f>'CAPEX &amp; D&amp;A'!AD29</f>
        <v/>
      </c>
      <c r="AE7" s="53">
        <f>'CAPEX &amp; D&amp;A'!AE29</f>
        <v/>
      </c>
      <c r="AF7" s="53">
        <f>'CAPEX &amp; D&amp;A'!AF29</f>
        <v/>
      </c>
      <c r="AG7" s="53">
        <f>'CAPEX &amp; D&amp;A'!AG29</f>
        <v/>
      </c>
      <c r="AH7" s="53">
        <f>'CAPEX &amp; D&amp;A'!AH29</f>
        <v/>
      </c>
      <c r="AI7" s="53">
        <f>'CAPEX &amp; D&amp;A'!AI29</f>
        <v/>
      </c>
      <c r="AJ7" s="53">
        <f>'CAPEX &amp; D&amp;A'!AJ29</f>
        <v/>
      </c>
      <c r="AK7" s="53">
        <f>'CAPEX &amp; D&amp;A'!AK29</f>
        <v/>
      </c>
      <c r="AL7" s="53">
        <f>'CAPEX &amp; D&amp;A'!AL29</f>
        <v/>
      </c>
      <c r="AM7" s="53">
        <f>'CAPEX &amp; D&amp;A'!AM29</f>
        <v/>
      </c>
      <c r="AN7" s="53">
        <f>'CAPEX &amp; D&amp;A'!AN29</f>
        <v/>
      </c>
      <c r="AO7" s="53">
        <f>'CAPEX &amp; D&amp;A'!AO29</f>
        <v/>
      </c>
      <c r="AP7" s="53">
        <f>'CAPEX &amp; D&amp;A'!AP29</f>
        <v/>
      </c>
      <c r="AQ7" s="53">
        <f>'CAPEX &amp; D&amp;A'!AQ29</f>
        <v/>
      </c>
      <c r="AR7" s="53">
        <f>'CAPEX &amp; D&amp;A'!AR29</f>
        <v/>
      </c>
      <c r="AS7" s="53">
        <f>'CAPEX &amp; D&amp;A'!AS29</f>
        <v/>
      </c>
      <c r="AT7" s="53">
        <f>'CAPEX &amp; D&amp;A'!AT29</f>
        <v/>
      </c>
      <c r="AU7" s="53">
        <f>'CAPEX &amp; D&amp;A'!AU29</f>
        <v/>
      </c>
      <c r="AV7" s="53">
        <f>'CAPEX &amp; D&amp;A'!AV29</f>
        <v/>
      </c>
      <c r="AW7" s="53">
        <f>'CAPEX &amp; D&amp;A'!AW29</f>
        <v/>
      </c>
      <c r="AX7" s="53">
        <f>'CAPEX &amp; D&amp;A'!AX29</f>
        <v/>
      </c>
      <c r="AY7" s="53">
        <f>'CAPEX &amp; D&amp;A'!AY29</f>
        <v/>
      </c>
      <c r="AZ7" s="53">
        <f>'CAPEX &amp; D&amp;A'!AZ29</f>
        <v/>
      </c>
      <c r="BA7" s="53">
        <f>'CAPEX &amp; D&amp;A'!BA29</f>
        <v/>
      </c>
      <c r="BB7" s="53">
        <f>'CAPEX &amp; D&amp;A'!BB29</f>
        <v/>
      </c>
      <c r="BC7" s="53">
        <f>'CAPEX &amp; D&amp;A'!BC29</f>
        <v/>
      </c>
      <c r="BD7" s="53">
        <f>'CAPEX &amp; D&amp;A'!BD29</f>
        <v/>
      </c>
      <c r="BE7" s="53">
        <f>'CAPEX &amp; D&amp;A'!BE29</f>
        <v/>
      </c>
      <c r="BF7" s="53">
        <f>'CAPEX &amp; D&amp;A'!BF29</f>
        <v/>
      </c>
      <c r="BG7" s="53">
        <f>'CAPEX &amp; D&amp;A'!BG29</f>
        <v/>
      </c>
      <c r="BH7" s="53">
        <f>'CAPEX &amp; D&amp;A'!BH29</f>
        <v/>
      </c>
      <c r="BI7" s="53">
        <f>'CAPEX &amp; D&amp;A'!BI29</f>
        <v/>
      </c>
      <c r="BJ7" s="53">
        <f>'CAPEX &amp; D&amp;A'!BJ29</f>
        <v/>
      </c>
      <c r="BK7" s="53">
        <f>'CAPEX &amp; D&amp;A'!BK29</f>
        <v/>
      </c>
      <c r="BL7" s="53">
        <f>'CAPEX &amp; D&amp;A'!BL29</f>
        <v/>
      </c>
      <c r="BN7" s="53">
        <f>SUM(E7:P7)</f>
        <v/>
      </c>
      <c r="BO7" s="53">
        <f>SUM(Q7:AB7)</f>
        <v/>
      </c>
      <c r="BP7" s="53">
        <f>SUM(AC7:AN7)</f>
        <v/>
      </c>
      <c r="BQ7" s="53">
        <f>SUM(AO7:AZ7)</f>
        <v/>
      </c>
      <c r="BR7" s="53">
        <f>SUM(BA7:BL7)</f>
        <v/>
      </c>
    </row>
    <row r="8">
      <c r="A8" s="93" t="inlineStr">
        <is>
          <t>− ΔNWC (из Баланс)</t>
        </is>
      </c>
      <c r="B8" s="97" t="inlineStr">
        <is>
          <t>млн ₽</t>
        </is>
      </c>
      <c r="C8" s="53">
        <f>SUM(BN8:BR8)</f>
        <v/>
      </c>
      <c r="D8" s="45" t="inlineStr"/>
      <c r="E8" s="53">
        <f>-Баланс!E28</f>
        <v/>
      </c>
      <c r="F8" s="53">
        <f>-Баланс!F28</f>
        <v/>
      </c>
      <c r="G8" s="53">
        <f>-Баланс!G28</f>
        <v/>
      </c>
      <c r="H8" s="53">
        <f>-Баланс!H28</f>
        <v/>
      </c>
      <c r="I8" s="53">
        <f>-Баланс!I28</f>
        <v/>
      </c>
      <c r="J8" s="53">
        <f>-Баланс!J28</f>
        <v/>
      </c>
      <c r="K8" s="53">
        <f>-Баланс!K28</f>
        <v/>
      </c>
      <c r="L8" s="53">
        <f>-Баланс!L28</f>
        <v/>
      </c>
      <c r="M8" s="53">
        <f>-Баланс!M28</f>
        <v/>
      </c>
      <c r="N8" s="53">
        <f>-Баланс!N28</f>
        <v/>
      </c>
      <c r="O8" s="53">
        <f>-Баланс!O28</f>
        <v/>
      </c>
      <c r="P8" s="53">
        <f>-Баланс!P28</f>
        <v/>
      </c>
      <c r="Q8" s="53">
        <f>-Баланс!Q28</f>
        <v/>
      </c>
      <c r="R8" s="53">
        <f>-Баланс!R28</f>
        <v/>
      </c>
      <c r="S8" s="53">
        <f>-Баланс!S28</f>
        <v/>
      </c>
      <c r="T8" s="53">
        <f>-Баланс!T28</f>
        <v/>
      </c>
      <c r="U8" s="53">
        <f>-Баланс!U28</f>
        <v/>
      </c>
      <c r="V8" s="53">
        <f>-Баланс!V28</f>
        <v/>
      </c>
      <c r="W8" s="53">
        <f>-Баланс!W28</f>
        <v/>
      </c>
      <c r="X8" s="53">
        <f>-Баланс!X28</f>
        <v/>
      </c>
      <c r="Y8" s="53">
        <f>-Баланс!Y28</f>
        <v/>
      </c>
      <c r="Z8" s="53">
        <f>-Баланс!Z28</f>
        <v/>
      </c>
      <c r="AA8" s="53">
        <f>-Баланс!AA28</f>
        <v/>
      </c>
      <c r="AB8" s="53">
        <f>-Баланс!AB28</f>
        <v/>
      </c>
      <c r="AC8" s="53">
        <f>-Баланс!AC28</f>
        <v/>
      </c>
      <c r="AD8" s="53">
        <f>-Баланс!AD28</f>
        <v/>
      </c>
      <c r="AE8" s="53">
        <f>-Баланс!AE28</f>
        <v/>
      </c>
      <c r="AF8" s="53">
        <f>-Баланс!AF28</f>
        <v/>
      </c>
      <c r="AG8" s="53">
        <f>-Баланс!AG28</f>
        <v/>
      </c>
      <c r="AH8" s="53">
        <f>-Баланс!AH28</f>
        <v/>
      </c>
      <c r="AI8" s="53">
        <f>-Баланс!AI28</f>
        <v/>
      </c>
      <c r="AJ8" s="53">
        <f>-Баланс!AJ28</f>
        <v/>
      </c>
      <c r="AK8" s="53">
        <f>-Баланс!AK28</f>
        <v/>
      </c>
      <c r="AL8" s="53">
        <f>-Баланс!AL28</f>
        <v/>
      </c>
      <c r="AM8" s="53">
        <f>-Баланс!AM28</f>
        <v/>
      </c>
      <c r="AN8" s="53">
        <f>-Баланс!AN28</f>
        <v/>
      </c>
      <c r="AO8" s="53">
        <f>-Баланс!AO28</f>
        <v/>
      </c>
      <c r="AP8" s="53">
        <f>-Баланс!AP28</f>
        <v/>
      </c>
      <c r="AQ8" s="53">
        <f>-Баланс!AQ28</f>
        <v/>
      </c>
      <c r="AR8" s="53">
        <f>-Баланс!AR28</f>
        <v/>
      </c>
      <c r="AS8" s="53">
        <f>-Баланс!AS28</f>
        <v/>
      </c>
      <c r="AT8" s="53">
        <f>-Баланс!AT28</f>
        <v/>
      </c>
      <c r="AU8" s="53">
        <f>-Баланс!AU28</f>
        <v/>
      </c>
      <c r="AV8" s="53">
        <f>-Баланс!AV28</f>
        <v/>
      </c>
      <c r="AW8" s="53">
        <f>-Баланс!AW28</f>
        <v/>
      </c>
      <c r="AX8" s="53">
        <f>-Баланс!AX28</f>
        <v/>
      </c>
      <c r="AY8" s="53">
        <f>-Баланс!AY28</f>
        <v/>
      </c>
      <c r="AZ8" s="53">
        <f>-Баланс!AZ28</f>
        <v/>
      </c>
      <c r="BA8" s="53">
        <f>-Баланс!BA28</f>
        <v/>
      </c>
      <c r="BB8" s="53">
        <f>-Баланс!BB28</f>
        <v/>
      </c>
      <c r="BC8" s="53">
        <f>-Баланс!BC28</f>
        <v/>
      </c>
      <c r="BD8" s="53">
        <f>-Баланс!BD28</f>
        <v/>
      </c>
      <c r="BE8" s="53">
        <f>-Баланс!BE28</f>
        <v/>
      </c>
      <c r="BF8" s="53">
        <f>-Баланс!BF28</f>
        <v/>
      </c>
      <c r="BG8" s="53">
        <f>-Баланс!BG28</f>
        <v/>
      </c>
      <c r="BH8" s="53">
        <f>-Баланс!BH28</f>
        <v/>
      </c>
      <c r="BI8" s="53">
        <f>-Баланс!BI28</f>
        <v/>
      </c>
      <c r="BJ8" s="53">
        <f>-Баланс!BJ28</f>
        <v/>
      </c>
      <c r="BK8" s="53">
        <f>-Баланс!BK28</f>
        <v/>
      </c>
      <c r="BL8" s="53">
        <f>-Баланс!BL28</f>
        <v/>
      </c>
      <c r="BN8" s="53">
        <f>SUM(E8:P8)</f>
        <v/>
      </c>
      <c r="BO8" s="53">
        <f>SUM(Q8:AB8)</f>
        <v/>
      </c>
      <c r="BP8" s="53">
        <f>SUM(AC8:AN8)</f>
        <v/>
      </c>
      <c r="BQ8" s="53">
        <f>SUM(AO8:AZ8)</f>
        <v/>
      </c>
      <c r="BR8" s="53">
        <f>SUM(BA8:BL8)</f>
        <v/>
      </c>
    </row>
    <row r="9">
      <c r="A9" s="93" t="inlineStr">
        <is>
          <t>+ ΔНалоги к уплате (из Баланс)</t>
        </is>
      </c>
      <c r="B9" s="97" t="inlineStr">
        <is>
          <t>млн ₽</t>
        </is>
      </c>
      <c r="C9" s="53">
        <f>SUM(BN9:BR9)</f>
        <v/>
      </c>
      <c r="D9" s="45" t="inlineStr"/>
      <c r="E9" s="53">
        <f>Баланс!E14</f>
        <v/>
      </c>
      <c r="F9" s="53">
        <f>Баланс!F14-Баланс!E14</f>
        <v/>
      </c>
      <c r="G9" s="53">
        <f>Баланс!G14-Баланс!F14</f>
        <v/>
      </c>
      <c r="H9" s="53">
        <f>Баланс!H14-Баланс!G14</f>
        <v/>
      </c>
      <c r="I9" s="53">
        <f>Баланс!I14-Баланс!H14</f>
        <v/>
      </c>
      <c r="J9" s="53">
        <f>Баланс!J14-Баланс!I14</f>
        <v/>
      </c>
      <c r="K9" s="53">
        <f>Баланс!K14-Баланс!J14</f>
        <v/>
      </c>
      <c r="L9" s="53">
        <f>Баланс!L14-Баланс!K14</f>
        <v/>
      </c>
      <c r="M9" s="53">
        <f>Баланс!M14-Баланс!L14</f>
        <v/>
      </c>
      <c r="N9" s="53">
        <f>Баланс!N14-Баланс!M14</f>
        <v/>
      </c>
      <c r="O9" s="53">
        <f>Баланс!O14-Баланс!N14</f>
        <v/>
      </c>
      <c r="P9" s="53">
        <f>Баланс!P14-Баланс!O14</f>
        <v/>
      </c>
      <c r="Q9" s="53">
        <f>Баланс!Q14-Баланс!P14</f>
        <v/>
      </c>
      <c r="R9" s="53">
        <f>Баланс!R14-Баланс!Q14</f>
        <v/>
      </c>
      <c r="S9" s="53">
        <f>Баланс!S14-Баланс!R14</f>
        <v/>
      </c>
      <c r="T9" s="53">
        <f>Баланс!T14-Баланс!S14</f>
        <v/>
      </c>
      <c r="U9" s="53">
        <f>Баланс!U14-Баланс!T14</f>
        <v/>
      </c>
      <c r="V9" s="53">
        <f>Баланс!V14-Баланс!U14</f>
        <v/>
      </c>
      <c r="W9" s="53">
        <f>Баланс!W14-Баланс!V14</f>
        <v/>
      </c>
      <c r="X9" s="53">
        <f>Баланс!X14-Баланс!W14</f>
        <v/>
      </c>
      <c r="Y9" s="53">
        <f>Баланс!Y14-Баланс!X14</f>
        <v/>
      </c>
      <c r="Z9" s="53">
        <f>Баланс!Z14-Баланс!Y14</f>
        <v/>
      </c>
      <c r="AA9" s="53">
        <f>Баланс!AA14-Баланс!Z14</f>
        <v/>
      </c>
      <c r="AB9" s="53">
        <f>Баланс!AB14-Баланс!AA14</f>
        <v/>
      </c>
      <c r="AC9" s="53">
        <f>Баланс!AC14-Баланс!AB14</f>
        <v/>
      </c>
      <c r="AD9" s="53">
        <f>Баланс!AD14-Баланс!AC14</f>
        <v/>
      </c>
      <c r="AE9" s="53">
        <f>Баланс!AE14-Баланс!AD14</f>
        <v/>
      </c>
      <c r="AF9" s="53">
        <f>Баланс!AF14-Баланс!AE14</f>
        <v/>
      </c>
      <c r="AG9" s="53">
        <f>Баланс!AG14-Баланс!AF14</f>
        <v/>
      </c>
      <c r="AH9" s="53">
        <f>Баланс!AH14-Баланс!AG14</f>
        <v/>
      </c>
      <c r="AI9" s="53">
        <f>Баланс!AI14-Баланс!AH14</f>
        <v/>
      </c>
      <c r="AJ9" s="53">
        <f>Баланс!AJ14-Баланс!AI14</f>
        <v/>
      </c>
      <c r="AK9" s="53">
        <f>Баланс!AK14-Баланс!AJ14</f>
        <v/>
      </c>
      <c r="AL9" s="53">
        <f>Баланс!AL14-Баланс!AK14</f>
        <v/>
      </c>
      <c r="AM9" s="53">
        <f>Баланс!AM14-Баланс!AL14</f>
        <v/>
      </c>
      <c r="AN9" s="53">
        <f>Баланс!AN14-Баланс!AM14</f>
        <v/>
      </c>
      <c r="AO9" s="53">
        <f>Баланс!AO14-Баланс!AN14</f>
        <v/>
      </c>
      <c r="AP9" s="53">
        <f>Баланс!AP14-Баланс!AO14</f>
        <v/>
      </c>
      <c r="AQ9" s="53">
        <f>Баланс!AQ14-Баланс!AP14</f>
        <v/>
      </c>
      <c r="AR9" s="53">
        <f>Баланс!AR14-Баланс!AQ14</f>
        <v/>
      </c>
      <c r="AS9" s="53">
        <f>Баланс!AS14-Баланс!AR14</f>
        <v/>
      </c>
      <c r="AT9" s="53">
        <f>Баланс!AT14-Баланс!AS14</f>
        <v/>
      </c>
      <c r="AU9" s="53">
        <f>Баланс!AU14-Баланс!AT14</f>
        <v/>
      </c>
      <c r="AV9" s="53">
        <f>Баланс!AV14-Баланс!AU14</f>
        <v/>
      </c>
      <c r="AW9" s="53">
        <f>Баланс!AW14-Баланс!AV14</f>
        <v/>
      </c>
      <c r="AX9" s="53">
        <f>Баланс!AX14-Баланс!AW14</f>
        <v/>
      </c>
      <c r="AY9" s="53">
        <f>Баланс!AY14-Баланс!AX14</f>
        <v/>
      </c>
      <c r="AZ9" s="53">
        <f>Баланс!AZ14-Баланс!AY14</f>
        <v/>
      </c>
      <c r="BA9" s="53">
        <f>Баланс!BA14-Баланс!AZ14</f>
        <v/>
      </c>
      <c r="BB9" s="53">
        <f>Баланс!BB14-Баланс!BA14</f>
        <v/>
      </c>
      <c r="BC9" s="53">
        <f>Баланс!BC14-Баланс!BB14</f>
        <v/>
      </c>
      <c r="BD9" s="53">
        <f>Баланс!BD14-Баланс!BC14</f>
        <v/>
      </c>
      <c r="BE9" s="53">
        <f>Баланс!BE14-Баланс!BD14</f>
        <v/>
      </c>
      <c r="BF9" s="53">
        <f>Баланс!BF14-Баланс!BE14</f>
        <v/>
      </c>
      <c r="BG9" s="53">
        <f>Баланс!BG14-Баланс!BF14</f>
        <v/>
      </c>
      <c r="BH9" s="53">
        <f>Баланс!BH14-Баланс!BG14</f>
        <v/>
      </c>
      <c r="BI9" s="53">
        <f>Баланс!BI14-Баланс!BH14</f>
        <v/>
      </c>
      <c r="BJ9" s="53">
        <f>Баланс!BJ14-Баланс!BI14</f>
        <v/>
      </c>
      <c r="BK9" s="53">
        <f>Баланс!BK14-Баланс!BJ14</f>
        <v/>
      </c>
      <c r="BL9" s="53">
        <f>Баланс!BL14-Баланс!BK14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80" t="inlineStr">
        <is>
          <t xml:space="preserve"> = CFO (операционный)</t>
        </is>
      </c>
      <c r="B10" s="98" t="inlineStr">
        <is>
          <t>млн ₽</t>
        </is>
      </c>
      <c r="C10" s="82">
        <f>SUM(BN10:BR10)</f>
        <v/>
      </c>
      <c r="D10" s="45" t="inlineStr"/>
      <c r="E10" s="82">
        <f>E6+E7+E8+E9</f>
        <v/>
      </c>
      <c r="F10" s="82">
        <f>F6+F7+F8+F9</f>
        <v/>
      </c>
      <c r="G10" s="82">
        <f>G6+G7+G8+G9</f>
        <v/>
      </c>
      <c r="H10" s="82">
        <f>H6+H7+H8+H9</f>
        <v/>
      </c>
      <c r="I10" s="82">
        <f>I6+I7+I8+I9</f>
        <v/>
      </c>
      <c r="J10" s="82">
        <f>J6+J7+J8+J9</f>
        <v/>
      </c>
      <c r="K10" s="82">
        <f>K6+K7+K8+K9</f>
        <v/>
      </c>
      <c r="L10" s="82">
        <f>L6+L7+L8+L9</f>
        <v/>
      </c>
      <c r="M10" s="82">
        <f>M6+M7+M8+M9</f>
        <v/>
      </c>
      <c r="N10" s="82">
        <f>N6+N7+N8+N9</f>
        <v/>
      </c>
      <c r="O10" s="82">
        <f>O6+O7+O8+O9</f>
        <v/>
      </c>
      <c r="P10" s="82">
        <f>P6+P7+P8+P9</f>
        <v/>
      </c>
      <c r="Q10" s="82">
        <f>Q6+Q7+Q8+Q9</f>
        <v/>
      </c>
      <c r="R10" s="82">
        <f>R6+R7+R8+R9</f>
        <v/>
      </c>
      <c r="S10" s="82">
        <f>S6+S7+S8+S9</f>
        <v/>
      </c>
      <c r="T10" s="82">
        <f>T6+T7+T8+T9</f>
        <v/>
      </c>
      <c r="U10" s="82">
        <f>U6+U7+U8+U9</f>
        <v/>
      </c>
      <c r="V10" s="82">
        <f>V6+V7+V8+V9</f>
        <v/>
      </c>
      <c r="W10" s="82">
        <f>W6+W7+W8+W9</f>
        <v/>
      </c>
      <c r="X10" s="82">
        <f>X6+X7+X8+X9</f>
        <v/>
      </c>
      <c r="Y10" s="82">
        <f>Y6+Y7+Y8+Y9</f>
        <v/>
      </c>
      <c r="Z10" s="82">
        <f>Z6+Z7+Z8+Z9</f>
        <v/>
      </c>
      <c r="AA10" s="82">
        <f>AA6+AA7+AA8+AA9</f>
        <v/>
      </c>
      <c r="AB10" s="82">
        <f>AB6+AB7+AB8+AB9</f>
        <v/>
      </c>
      <c r="AC10" s="82">
        <f>AC6+AC7+AC8+AC9</f>
        <v/>
      </c>
      <c r="AD10" s="82">
        <f>AD6+AD7+AD8+AD9</f>
        <v/>
      </c>
      <c r="AE10" s="82">
        <f>AE6+AE7+AE8+AE9</f>
        <v/>
      </c>
      <c r="AF10" s="82">
        <f>AF6+AF7+AF8+AF9</f>
        <v/>
      </c>
      <c r="AG10" s="82">
        <f>AG6+AG7+AG8+AG9</f>
        <v/>
      </c>
      <c r="AH10" s="82">
        <f>AH6+AH7+AH8+AH9</f>
        <v/>
      </c>
      <c r="AI10" s="82">
        <f>AI6+AI7+AI8+AI9</f>
        <v/>
      </c>
      <c r="AJ10" s="82">
        <f>AJ6+AJ7+AJ8+AJ9</f>
        <v/>
      </c>
      <c r="AK10" s="82">
        <f>AK6+AK7+AK8+AK9</f>
        <v/>
      </c>
      <c r="AL10" s="82">
        <f>AL6+AL7+AL8+AL9</f>
        <v/>
      </c>
      <c r="AM10" s="82">
        <f>AM6+AM7+AM8+AM9</f>
        <v/>
      </c>
      <c r="AN10" s="82">
        <f>AN6+AN7+AN8+AN9</f>
        <v/>
      </c>
      <c r="AO10" s="82">
        <f>AO6+AO7+AO8+AO9</f>
        <v/>
      </c>
      <c r="AP10" s="82">
        <f>AP6+AP7+AP8+AP9</f>
        <v/>
      </c>
      <c r="AQ10" s="82">
        <f>AQ6+AQ7+AQ8+AQ9</f>
        <v/>
      </c>
      <c r="AR10" s="82">
        <f>AR6+AR7+AR8+AR9</f>
        <v/>
      </c>
      <c r="AS10" s="82">
        <f>AS6+AS7+AS8+AS9</f>
        <v/>
      </c>
      <c r="AT10" s="82">
        <f>AT6+AT7+AT8+AT9</f>
        <v/>
      </c>
      <c r="AU10" s="82">
        <f>AU6+AU7+AU8+AU9</f>
        <v/>
      </c>
      <c r="AV10" s="82">
        <f>AV6+AV7+AV8+AV9</f>
        <v/>
      </c>
      <c r="AW10" s="82">
        <f>AW6+AW7+AW8+AW9</f>
        <v/>
      </c>
      <c r="AX10" s="82">
        <f>AX6+AX7+AX8+AX9</f>
        <v/>
      </c>
      <c r="AY10" s="82">
        <f>AY6+AY7+AY8+AY9</f>
        <v/>
      </c>
      <c r="AZ10" s="82">
        <f>AZ6+AZ7+AZ8+AZ9</f>
        <v/>
      </c>
      <c r="BA10" s="82">
        <f>BA6+BA7+BA8+BA9</f>
        <v/>
      </c>
      <c r="BB10" s="82">
        <f>BB6+BB7+BB8+BB9</f>
        <v/>
      </c>
      <c r="BC10" s="82">
        <f>BC6+BC7+BC8+BC9</f>
        <v/>
      </c>
      <c r="BD10" s="82">
        <f>BD6+BD7+BD8+BD9</f>
        <v/>
      </c>
      <c r="BE10" s="82">
        <f>BE6+BE7+BE8+BE9</f>
        <v/>
      </c>
      <c r="BF10" s="82">
        <f>BF6+BF7+BF8+BF9</f>
        <v/>
      </c>
      <c r="BG10" s="82">
        <f>BG6+BG7+BG8+BG9</f>
        <v/>
      </c>
      <c r="BH10" s="82">
        <f>BH6+BH7+BH8+BH9</f>
        <v/>
      </c>
      <c r="BI10" s="82">
        <f>BI6+BI7+BI8+BI9</f>
        <v/>
      </c>
      <c r="BJ10" s="82">
        <f>BJ6+BJ7+BJ8+BJ9</f>
        <v/>
      </c>
      <c r="BK10" s="82">
        <f>BK6+BK7+BK8+BK9</f>
        <v/>
      </c>
      <c r="BL10" s="82">
        <f>BL6+BL7+BL8+BL9</f>
        <v/>
      </c>
      <c r="BN10" s="82">
        <f>SUM(E10:P10)</f>
        <v/>
      </c>
      <c r="BO10" s="82">
        <f>SUM(Q10:AB10)</f>
        <v/>
      </c>
      <c r="BP10" s="82">
        <f>SUM(AC10:AN10)</f>
        <v/>
      </c>
      <c r="BQ10" s="82">
        <f>SUM(AO10:AZ10)</f>
        <v/>
      </c>
      <c r="BR10" s="82">
        <f>SUM(BA10:BL10)</f>
        <v/>
      </c>
    </row>
    <row r="11"/>
    <row r="12" ht="22" customHeight="1">
      <c r="A12" s="62" t="inlineStr">
        <is>
          <t xml:space="preserve">  ИНВЕСТИЦИОННЫЙ ПОТОК (CFI)</t>
        </is>
      </c>
    </row>
    <row r="13">
      <c r="A13" s="93" t="inlineStr">
        <is>
          <t>− CAPEX (из CAPEX &amp; D&amp;A)</t>
        </is>
      </c>
      <c r="B13" s="97" t="inlineStr">
        <is>
          <t>млн ₽</t>
        </is>
      </c>
      <c r="C13" s="53">
        <f>SUM(BN13:BR13)</f>
        <v/>
      </c>
      <c r="D13" s="45" t="inlineStr"/>
      <c r="E13" s="53">
        <f>-'CAPEX &amp; D&amp;A'!E13</f>
        <v/>
      </c>
      <c r="F13" s="53">
        <f>-'CAPEX &amp; D&amp;A'!F13</f>
        <v/>
      </c>
      <c r="G13" s="53">
        <f>-'CAPEX &amp; D&amp;A'!G13</f>
        <v/>
      </c>
      <c r="H13" s="53">
        <f>-'CAPEX &amp; D&amp;A'!H13</f>
        <v/>
      </c>
      <c r="I13" s="53">
        <f>-'CAPEX &amp; D&amp;A'!I13</f>
        <v/>
      </c>
      <c r="J13" s="53">
        <f>-'CAPEX &amp; D&amp;A'!J13</f>
        <v/>
      </c>
      <c r="K13" s="53">
        <f>-'CAPEX &amp; D&amp;A'!K13</f>
        <v/>
      </c>
      <c r="L13" s="53">
        <f>-'CAPEX &amp; D&amp;A'!L13</f>
        <v/>
      </c>
      <c r="M13" s="53">
        <f>-'CAPEX &amp; D&amp;A'!M13</f>
        <v/>
      </c>
      <c r="N13" s="53">
        <f>-'CAPEX &amp; D&amp;A'!N13</f>
        <v/>
      </c>
      <c r="O13" s="53">
        <f>-'CAPEX &amp; D&amp;A'!O13</f>
        <v/>
      </c>
      <c r="P13" s="53">
        <f>-'CAPEX &amp; D&amp;A'!P13</f>
        <v/>
      </c>
      <c r="Q13" s="53">
        <f>-'CAPEX &amp; D&amp;A'!Q13</f>
        <v/>
      </c>
      <c r="R13" s="53">
        <f>-'CAPEX &amp; D&amp;A'!R13</f>
        <v/>
      </c>
      <c r="S13" s="53">
        <f>-'CAPEX &amp; D&amp;A'!S13</f>
        <v/>
      </c>
      <c r="T13" s="53">
        <f>-'CAPEX &amp; D&amp;A'!T13</f>
        <v/>
      </c>
      <c r="U13" s="53">
        <f>-'CAPEX &amp; D&amp;A'!U13</f>
        <v/>
      </c>
      <c r="V13" s="53">
        <f>-'CAPEX &amp; D&amp;A'!V13</f>
        <v/>
      </c>
      <c r="W13" s="53">
        <f>-'CAPEX &amp; D&amp;A'!W13</f>
        <v/>
      </c>
      <c r="X13" s="53">
        <f>-'CAPEX &amp; D&amp;A'!X13</f>
        <v/>
      </c>
      <c r="Y13" s="53">
        <f>-'CAPEX &amp; D&amp;A'!Y13</f>
        <v/>
      </c>
      <c r="Z13" s="53">
        <f>-'CAPEX &amp; D&amp;A'!Z13</f>
        <v/>
      </c>
      <c r="AA13" s="53">
        <f>-'CAPEX &amp; D&amp;A'!AA13</f>
        <v/>
      </c>
      <c r="AB13" s="53">
        <f>-'CAPEX &amp; D&amp;A'!AB13</f>
        <v/>
      </c>
      <c r="AC13" s="53">
        <f>-'CAPEX &amp; D&amp;A'!AC13</f>
        <v/>
      </c>
      <c r="AD13" s="53">
        <f>-'CAPEX &amp; D&amp;A'!AD13</f>
        <v/>
      </c>
      <c r="AE13" s="53">
        <f>-'CAPEX &amp; D&amp;A'!AE13</f>
        <v/>
      </c>
      <c r="AF13" s="53">
        <f>-'CAPEX &amp; D&amp;A'!AF13</f>
        <v/>
      </c>
      <c r="AG13" s="53">
        <f>-'CAPEX &amp; D&amp;A'!AG13</f>
        <v/>
      </c>
      <c r="AH13" s="53">
        <f>-'CAPEX &amp; D&amp;A'!AH13</f>
        <v/>
      </c>
      <c r="AI13" s="53">
        <f>-'CAPEX &amp; D&amp;A'!AI13</f>
        <v/>
      </c>
      <c r="AJ13" s="53">
        <f>-'CAPEX &amp; D&amp;A'!AJ13</f>
        <v/>
      </c>
      <c r="AK13" s="53">
        <f>-'CAPEX &amp; D&amp;A'!AK13</f>
        <v/>
      </c>
      <c r="AL13" s="53">
        <f>-'CAPEX &amp; D&amp;A'!AL13</f>
        <v/>
      </c>
      <c r="AM13" s="53">
        <f>-'CAPEX &amp; D&amp;A'!AM13</f>
        <v/>
      </c>
      <c r="AN13" s="53">
        <f>-'CAPEX &amp; D&amp;A'!AN13</f>
        <v/>
      </c>
      <c r="AO13" s="53">
        <f>-'CAPEX &amp; D&amp;A'!AO13</f>
        <v/>
      </c>
      <c r="AP13" s="53">
        <f>-'CAPEX &amp; D&amp;A'!AP13</f>
        <v/>
      </c>
      <c r="AQ13" s="53">
        <f>-'CAPEX &amp; D&amp;A'!AQ13</f>
        <v/>
      </c>
      <c r="AR13" s="53">
        <f>-'CAPEX &amp; D&amp;A'!AR13</f>
        <v/>
      </c>
      <c r="AS13" s="53">
        <f>-'CAPEX &amp; D&amp;A'!AS13</f>
        <v/>
      </c>
      <c r="AT13" s="53">
        <f>-'CAPEX &amp; D&amp;A'!AT13</f>
        <v/>
      </c>
      <c r="AU13" s="53">
        <f>-'CAPEX &amp; D&amp;A'!AU13</f>
        <v/>
      </c>
      <c r="AV13" s="53">
        <f>-'CAPEX &amp; D&amp;A'!AV13</f>
        <v/>
      </c>
      <c r="AW13" s="53">
        <f>-'CAPEX &amp; D&amp;A'!AW13</f>
        <v/>
      </c>
      <c r="AX13" s="53">
        <f>-'CAPEX &amp; D&amp;A'!AX13</f>
        <v/>
      </c>
      <c r="AY13" s="53">
        <f>-'CAPEX &amp; D&amp;A'!AY13</f>
        <v/>
      </c>
      <c r="AZ13" s="53">
        <f>-'CAPEX &amp; D&amp;A'!AZ13</f>
        <v/>
      </c>
      <c r="BA13" s="53">
        <f>-'CAPEX &amp; D&amp;A'!BA13</f>
        <v/>
      </c>
      <c r="BB13" s="53">
        <f>-'CAPEX &amp; D&amp;A'!BB13</f>
        <v/>
      </c>
      <c r="BC13" s="53">
        <f>-'CAPEX &amp; D&amp;A'!BC13</f>
        <v/>
      </c>
      <c r="BD13" s="53">
        <f>-'CAPEX &amp; D&amp;A'!BD13</f>
        <v/>
      </c>
      <c r="BE13" s="53">
        <f>-'CAPEX &amp; D&amp;A'!BE13</f>
        <v/>
      </c>
      <c r="BF13" s="53">
        <f>-'CAPEX &amp; D&amp;A'!BF13</f>
        <v/>
      </c>
      <c r="BG13" s="53">
        <f>-'CAPEX &amp; D&amp;A'!BG13</f>
        <v/>
      </c>
      <c r="BH13" s="53">
        <f>-'CAPEX &amp; D&amp;A'!BH13</f>
        <v/>
      </c>
      <c r="BI13" s="53">
        <f>-'CAPEX &amp; D&amp;A'!BI13</f>
        <v/>
      </c>
      <c r="BJ13" s="53">
        <f>-'CAPEX &amp; D&amp;A'!BJ13</f>
        <v/>
      </c>
      <c r="BK13" s="53">
        <f>-'CAPEX &amp; D&amp;A'!BK13</f>
        <v/>
      </c>
      <c r="BL13" s="53">
        <f>-'CAPEX &amp; D&amp;A'!BL13</f>
        <v/>
      </c>
      <c r="BN13" s="53">
        <f>SUM(E13:P13)</f>
        <v/>
      </c>
      <c r="BO13" s="53">
        <f>SUM(Q13:AB13)</f>
        <v/>
      </c>
      <c r="BP13" s="53">
        <f>SUM(AC13:AN13)</f>
        <v/>
      </c>
      <c r="BQ13" s="53">
        <f>SUM(AO13:AZ13)</f>
        <v/>
      </c>
      <c r="BR13" s="53">
        <f>SUM(BA13:BL13)</f>
        <v/>
      </c>
    </row>
    <row r="14">
      <c r="A14" s="80" t="inlineStr">
        <is>
          <t xml:space="preserve"> = CFI (инвестиционный)</t>
        </is>
      </c>
      <c r="B14" s="98" t="inlineStr">
        <is>
          <t>млн ₽</t>
        </is>
      </c>
      <c r="C14" s="82">
        <f>SUM(BN14:BR14)</f>
        <v/>
      </c>
      <c r="D14" s="45" t="inlineStr"/>
      <c r="E14" s="82">
        <f>E13</f>
        <v/>
      </c>
      <c r="F14" s="82">
        <f>F13</f>
        <v/>
      </c>
      <c r="G14" s="82">
        <f>G13</f>
        <v/>
      </c>
      <c r="H14" s="82">
        <f>H13</f>
        <v/>
      </c>
      <c r="I14" s="82">
        <f>I13</f>
        <v/>
      </c>
      <c r="J14" s="82">
        <f>J13</f>
        <v/>
      </c>
      <c r="K14" s="82">
        <f>K13</f>
        <v/>
      </c>
      <c r="L14" s="82">
        <f>L13</f>
        <v/>
      </c>
      <c r="M14" s="82">
        <f>M13</f>
        <v/>
      </c>
      <c r="N14" s="82">
        <f>N13</f>
        <v/>
      </c>
      <c r="O14" s="82">
        <f>O13</f>
        <v/>
      </c>
      <c r="P14" s="82">
        <f>P13</f>
        <v/>
      </c>
      <c r="Q14" s="82">
        <f>Q13</f>
        <v/>
      </c>
      <c r="R14" s="82">
        <f>R13</f>
        <v/>
      </c>
      <c r="S14" s="82">
        <f>S13</f>
        <v/>
      </c>
      <c r="T14" s="82">
        <f>T13</f>
        <v/>
      </c>
      <c r="U14" s="82">
        <f>U13</f>
        <v/>
      </c>
      <c r="V14" s="82">
        <f>V13</f>
        <v/>
      </c>
      <c r="W14" s="82">
        <f>W13</f>
        <v/>
      </c>
      <c r="X14" s="82">
        <f>X13</f>
        <v/>
      </c>
      <c r="Y14" s="82">
        <f>Y13</f>
        <v/>
      </c>
      <c r="Z14" s="82">
        <f>Z13</f>
        <v/>
      </c>
      <c r="AA14" s="82">
        <f>AA13</f>
        <v/>
      </c>
      <c r="AB14" s="82">
        <f>AB13</f>
        <v/>
      </c>
      <c r="AC14" s="82">
        <f>AC13</f>
        <v/>
      </c>
      <c r="AD14" s="82">
        <f>AD13</f>
        <v/>
      </c>
      <c r="AE14" s="82">
        <f>AE13</f>
        <v/>
      </c>
      <c r="AF14" s="82">
        <f>AF13</f>
        <v/>
      </c>
      <c r="AG14" s="82">
        <f>AG13</f>
        <v/>
      </c>
      <c r="AH14" s="82">
        <f>AH13</f>
        <v/>
      </c>
      <c r="AI14" s="82">
        <f>AI13</f>
        <v/>
      </c>
      <c r="AJ14" s="82">
        <f>AJ13</f>
        <v/>
      </c>
      <c r="AK14" s="82">
        <f>AK13</f>
        <v/>
      </c>
      <c r="AL14" s="82">
        <f>AL13</f>
        <v/>
      </c>
      <c r="AM14" s="82">
        <f>AM13</f>
        <v/>
      </c>
      <c r="AN14" s="82">
        <f>AN13</f>
        <v/>
      </c>
      <c r="AO14" s="82">
        <f>AO13</f>
        <v/>
      </c>
      <c r="AP14" s="82">
        <f>AP13</f>
        <v/>
      </c>
      <c r="AQ14" s="82">
        <f>AQ13</f>
        <v/>
      </c>
      <c r="AR14" s="82">
        <f>AR13</f>
        <v/>
      </c>
      <c r="AS14" s="82">
        <f>AS13</f>
        <v/>
      </c>
      <c r="AT14" s="82">
        <f>AT13</f>
        <v/>
      </c>
      <c r="AU14" s="82">
        <f>AU13</f>
        <v/>
      </c>
      <c r="AV14" s="82">
        <f>AV13</f>
        <v/>
      </c>
      <c r="AW14" s="82">
        <f>AW13</f>
        <v/>
      </c>
      <c r="AX14" s="82">
        <f>AX13</f>
        <v/>
      </c>
      <c r="AY14" s="82">
        <f>AY13</f>
        <v/>
      </c>
      <c r="AZ14" s="82">
        <f>AZ13</f>
        <v/>
      </c>
      <c r="BA14" s="82">
        <f>BA13</f>
        <v/>
      </c>
      <c r="BB14" s="82">
        <f>BB13</f>
        <v/>
      </c>
      <c r="BC14" s="82">
        <f>BC13</f>
        <v/>
      </c>
      <c r="BD14" s="82">
        <f>BD13</f>
        <v/>
      </c>
      <c r="BE14" s="82">
        <f>BE13</f>
        <v/>
      </c>
      <c r="BF14" s="82">
        <f>BF13</f>
        <v/>
      </c>
      <c r="BG14" s="82">
        <f>BG13</f>
        <v/>
      </c>
      <c r="BH14" s="82">
        <f>BH13</f>
        <v/>
      </c>
      <c r="BI14" s="82">
        <f>BI13</f>
        <v/>
      </c>
      <c r="BJ14" s="82">
        <f>BJ13</f>
        <v/>
      </c>
      <c r="BK14" s="82">
        <f>BK13</f>
        <v/>
      </c>
      <c r="BL14" s="82">
        <f>BL13</f>
        <v/>
      </c>
      <c r="BN14" s="82">
        <f>SUM(E14:P14)</f>
        <v/>
      </c>
      <c r="BO14" s="82">
        <f>SUM(Q14:AB14)</f>
        <v/>
      </c>
      <c r="BP14" s="82">
        <f>SUM(AC14:AN14)</f>
        <v/>
      </c>
      <c r="BQ14" s="82">
        <f>SUM(AO14:AZ14)</f>
        <v/>
      </c>
      <c r="BR14" s="82">
        <f>SUM(BA14:BL14)</f>
        <v/>
      </c>
    </row>
    <row r="15"/>
    <row r="16" ht="22" customHeight="1">
      <c r="A16" s="62" t="inlineStr">
        <is>
          <t xml:space="preserve">  ФИНАНСОВЫЙ ПОТОК (CFF)</t>
        </is>
      </c>
    </row>
    <row r="17">
      <c r="A17" s="93" t="inlineStr">
        <is>
          <t>− Погашение долга (из Долг)</t>
        </is>
      </c>
      <c r="B17" s="97" t="inlineStr">
        <is>
          <t>млн ₽</t>
        </is>
      </c>
      <c r="C17" s="53">
        <f>SUM(BN17:BR17)</f>
        <v/>
      </c>
      <c r="D17" s="45" t="inlineStr"/>
      <c r="E17" s="53">
        <f>-'Долговое финансирование'!E11</f>
        <v/>
      </c>
      <c r="F17" s="53">
        <f>-'Долговое финансирование'!F11</f>
        <v/>
      </c>
      <c r="G17" s="53">
        <f>-'Долговое финансирование'!G11</f>
        <v/>
      </c>
      <c r="H17" s="53">
        <f>-'Долговое финансирование'!H11</f>
        <v/>
      </c>
      <c r="I17" s="53">
        <f>-'Долговое финансирование'!I11</f>
        <v/>
      </c>
      <c r="J17" s="53">
        <f>-'Долговое финансирование'!J11</f>
        <v/>
      </c>
      <c r="K17" s="53">
        <f>-'Долговое финансирование'!K11</f>
        <v/>
      </c>
      <c r="L17" s="53">
        <f>-'Долговое финансирование'!L11</f>
        <v/>
      </c>
      <c r="M17" s="53">
        <f>-'Долговое финансирование'!M11</f>
        <v/>
      </c>
      <c r="N17" s="53">
        <f>-'Долговое финансирование'!N11</f>
        <v/>
      </c>
      <c r="O17" s="53">
        <f>-'Долговое финансирование'!O11</f>
        <v/>
      </c>
      <c r="P17" s="53">
        <f>-'Долговое финансирование'!P11</f>
        <v/>
      </c>
      <c r="Q17" s="53">
        <f>-'Долговое финансирование'!Q11</f>
        <v/>
      </c>
      <c r="R17" s="53">
        <f>-'Долговое финансирование'!R11</f>
        <v/>
      </c>
      <c r="S17" s="53">
        <f>-'Долговое финансирование'!S11</f>
        <v/>
      </c>
      <c r="T17" s="53">
        <f>-'Долговое финансирование'!T11</f>
        <v/>
      </c>
      <c r="U17" s="53">
        <f>-'Долговое финансирование'!U11</f>
        <v/>
      </c>
      <c r="V17" s="53">
        <f>-'Долговое финансирование'!V11</f>
        <v/>
      </c>
      <c r="W17" s="53">
        <f>-'Долговое финансирование'!W11</f>
        <v/>
      </c>
      <c r="X17" s="53">
        <f>-'Долговое финансирование'!X11</f>
        <v/>
      </c>
      <c r="Y17" s="53">
        <f>-'Долговое финансирование'!Y11</f>
        <v/>
      </c>
      <c r="Z17" s="53">
        <f>-'Долговое финансирование'!Z11</f>
        <v/>
      </c>
      <c r="AA17" s="53">
        <f>-'Долговое финансирование'!AA11</f>
        <v/>
      </c>
      <c r="AB17" s="53">
        <f>-'Долговое финансирование'!AB11</f>
        <v/>
      </c>
      <c r="AC17" s="53">
        <f>-'Долговое финансирование'!AC11</f>
        <v/>
      </c>
      <c r="AD17" s="53">
        <f>-'Долговое финансирование'!AD11</f>
        <v/>
      </c>
      <c r="AE17" s="53">
        <f>-'Долговое финансирование'!AE11</f>
        <v/>
      </c>
      <c r="AF17" s="53">
        <f>-'Долговое финансирование'!AF11</f>
        <v/>
      </c>
      <c r="AG17" s="53">
        <f>-'Долговое финансирование'!AG11</f>
        <v/>
      </c>
      <c r="AH17" s="53">
        <f>-'Долговое финансирование'!AH11</f>
        <v/>
      </c>
      <c r="AI17" s="53">
        <f>-'Долговое финансирование'!AI11</f>
        <v/>
      </c>
      <c r="AJ17" s="53">
        <f>-'Долговое финансирование'!AJ11</f>
        <v/>
      </c>
      <c r="AK17" s="53">
        <f>-'Долговое финансирование'!AK11</f>
        <v/>
      </c>
      <c r="AL17" s="53">
        <f>-'Долговое финансирование'!AL11</f>
        <v/>
      </c>
      <c r="AM17" s="53">
        <f>-'Долговое финансирование'!AM11</f>
        <v/>
      </c>
      <c r="AN17" s="53">
        <f>-'Долговое финансирование'!AN11</f>
        <v/>
      </c>
      <c r="AO17" s="53">
        <f>-'Долговое финансирование'!AO11</f>
        <v/>
      </c>
      <c r="AP17" s="53">
        <f>-'Долговое финансирование'!AP11</f>
        <v/>
      </c>
      <c r="AQ17" s="53">
        <f>-'Долговое финансирование'!AQ11</f>
        <v/>
      </c>
      <c r="AR17" s="53">
        <f>-'Долговое финансирование'!AR11</f>
        <v/>
      </c>
      <c r="AS17" s="53">
        <f>-'Долговое финансирование'!AS11</f>
        <v/>
      </c>
      <c r="AT17" s="53">
        <f>-'Долговое финансирование'!AT11</f>
        <v/>
      </c>
      <c r="AU17" s="53">
        <f>-'Долговое финансирование'!AU11</f>
        <v/>
      </c>
      <c r="AV17" s="53">
        <f>-'Долговое финансирование'!AV11</f>
        <v/>
      </c>
      <c r="AW17" s="53">
        <f>-'Долговое финансирование'!AW11</f>
        <v/>
      </c>
      <c r="AX17" s="53">
        <f>-'Долговое финансирование'!AX11</f>
        <v/>
      </c>
      <c r="AY17" s="53">
        <f>-'Долговое финансирование'!AY11</f>
        <v/>
      </c>
      <c r="AZ17" s="53">
        <f>-'Долговое финансирование'!AZ11</f>
        <v/>
      </c>
      <c r="BA17" s="53">
        <f>-'Долговое финансирование'!BA11</f>
        <v/>
      </c>
      <c r="BB17" s="53">
        <f>-'Долговое финансирование'!BB11</f>
        <v/>
      </c>
      <c r="BC17" s="53">
        <f>-'Долговое финансирование'!BC11</f>
        <v/>
      </c>
      <c r="BD17" s="53">
        <f>-'Долговое финансирование'!BD11</f>
        <v/>
      </c>
      <c r="BE17" s="53">
        <f>-'Долговое финансирование'!BE11</f>
        <v/>
      </c>
      <c r="BF17" s="53">
        <f>-'Долговое финансирование'!BF11</f>
        <v/>
      </c>
      <c r="BG17" s="53">
        <f>-'Долговое финансирование'!BG11</f>
        <v/>
      </c>
      <c r="BH17" s="53">
        <f>-'Долговое финансирование'!BH11</f>
        <v/>
      </c>
      <c r="BI17" s="53">
        <f>-'Долговое финансирование'!BI11</f>
        <v/>
      </c>
      <c r="BJ17" s="53">
        <f>-'Долговое финансирование'!BJ11</f>
        <v/>
      </c>
      <c r="BK17" s="53">
        <f>-'Долговое финансирование'!BK11</f>
        <v/>
      </c>
      <c r="BL17" s="53">
        <f>-'Долговое финансирование'!BL11</f>
        <v/>
      </c>
      <c r="BN17" s="53">
        <f>SUM(E17:P17)</f>
        <v/>
      </c>
      <c r="BO17" s="53">
        <f>SUM(Q17:AB17)</f>
        <v/>
      </c>
      <c r="BP17" s="53">
        <f>SUM(AC17:AN17)</f>
        <v/>
      </c>
      <c r="BQ17" s="53">
        <f>SUM(AO17:AZ17)</f>
        <v/>
      </c>
      <c r="BR17" s="53">
        <f>SUM(BA17:BL17)</f>
        <v/>
      </c>
    </row>
    <row r="18">
      <c r="A18" s="93" t="inlineStr">
        <is>
          <t>+ Выборка revolver (из Долг)</t>
        </is>
      </c>
      <c r="B18" s="97" t="inlineStr">
        <is>
          <t>млн ₽</t>
        </is>
      </c>
      <c r="C18" s="53">
        <f>SUM(BN18:BR18)</f>
        <v/>
      </c>
      <c r="D18" s="45" t="inlineStr"/>
      <c r="E18" s="53">
        <f>'Долговое финансирование'!E22</f>
        <v/>
      </c>
      <c r="F18" s="53">
        <f>'Долговое финансирование'!F22</f>
        <v/>
      </c>
      <c r="G18" s="53">
        <f>'Долговое финансирование'!G22</f>
        <v/>
      </c>
      <c r="H18" s="53">
        <f>'Долговое финансирование'!H22</f>
        <v/>
      </c>
      <c r="I18" s="53">
        <f>'Долговое финансирование'!I22</f>
        <v/>
      </c>
      <c r="J18" s="53">
        <f>'Долговое финансирование'!J22</f>
        <v/>
      </c>
      <c r="K18" s="53">
        <f>'Долговое финансирование'!K22</f>
        <v/>
      </c>
      <c r="L18" s="53">
        <f>'Долговое финансирование'!L22</f>
        <v/>
      </c>
      <c r="M18" s="53">
        <f>'Долговое финансирование'!M22</f>
        <v/>
      </c>
      <c r="N18" s="53">
        <f>'Долговое финансирование'!N22</f>
        <v/>
      </c>
      <c r="O18" s="53">
        <f>'Долговое финансирование'!O22</f>
        <v/>
      </c>
      <c r="P18" s="53">
        <f>'Долговое финансирование'!P22</f>
        <v/>
      </c>
      <c r="Q18" s="53">
        <f>'Долговое финансирование'!Q22</f>
        <v/>
      </c>
      <c r="R18" s="53">
        <f>'Долговое финансирование'!R22</f>
        <v/>
      </c>
      <c r="S18" s="53">
        <f>'Долговое финансирование'!S22</f>
        <v/>
      </c>
      <c r="T18" s="53">
        <f>'Долговое финансирование'!T22</f>
        <v/>
      </c>
      <c r="U18" s="53">
        <f>'Долговое финансирование'!U22</f>
        <v/>
      </c>
      <c r="V18" s="53">
        <f>'Долговое финансирование'!V22</f>
        <v/>
      </c>
      <c r="W18" s="53">
        <f>'Долговое финансирование'!W22</f>
        <v/>
      </c>
      <c r="X18" s="53">
        <f>'Долговое финансирование'!X22</f>
        <v/>
      </c>
      <c r="Y18" s="53">
        <f>'Долговое финансирование'!Y22</f>
        <v/>
      </c>
      <c r="Z18" s="53">
        <f>'Долговое финансирование'!Z22</f>
        <v/>
      </c>
      <c r="AA18" s="53">
        <f>'Долговое финансирование'!AA22</f>
        <v/>
      </c>
      <c r="AB18" s="53">
        <f>'Долговое финансирование'!AB22</f>
        <v/>
      </c>
      <c r="AC18" s="53">
        <f>'Долговое финансирование'!AC22</f>
        <v/>
      </c>
      <c r="AD18" s="53">
        <f>'Долговое финансирование'!AD22</f>
        <v/>
      </c>
      <c r="AE18" s="53">
        <f>'Долговое финансирование'!AE22</f>
        <v/>
      </c>
      <c r="AF18" s="53">
        <f>'Долговое финансирование'!AF22</f>
        <v/>
      </c>
      <c r="AG18" s="53">
        <f>'Долговое финансирование'!AG22</f>
        <v/>
      </c>
      <c r="AH18" s="53">
        <f>'Долговое финансирование'!AH22</f>
        <v/>
      </c>
      <c r="AI18" s="53">
        <f>'Долговое финансирование'!AI22</f>
        <v/>
      </c>
      <c r="AJ18" s="53">
        <f>'Долговое финансирование'!AJ22</f>
        <v/>
      </c>
      <c r="AK18" s="53">
        <f>'Долговое финансирование'!AK22</f>
        <v/>
      </c>
      <c r="AL18" s="53">
        <f>'Долговое финансирование'!AL22</f>
        <v/>
      </c>
      <c r="AM18" s="53">
        <f>'Долговое финансирование'!AM22</f>
        <v/>
      </c>
      <c r="AN18" s="53">
        <f>'Долговое финансирование'!AN22</f>
        <v/>
      </c>
      <c r="AO18" s="53">
        <f>'Долговое финансирование'!AO22</f>
        <v/>
      </c>
      <c r="AP18" s="53">
        <f>'Долговое финансирование'!AP22</f>
        <v/>
      </c>
      <c r="AQ18" s="53">
        <f>'Долговое финансирование'!AQ22</f>
        <v/>
      </c>
      <c r="AR18" s="53">
        <f>'Долговое финансирование'!AR22</f>
        <v/>
      </c>
      <c r="AS18" s="53">
        <f>'Долговое финансирование'!AS22</f>
        <v/>
      </c>
      <c r="AT18" s="53">
        <f>'Долговое финансирование'!AT22</f>
        <v/>
      </c>
      <c r="AU18" s="53">
        <f>'Долговое финансирование'!AU22</f>
        <v/>
      </c>
      <c r="AV18" s="53">
        <f>'Долговое финансирование'!AV22</f>
        <v/>
      </c>
      <c r="AW18" s="53">
        <f>'Долговое финансирование'!AW22</f>
        <v/>
      </c>
      <c r="AX18" s="53">
        <f>'Долговое финансирование'!AX22</f>
        <v/>
      </c>
      <c r="AY18" s="53">
        <f>'Долговое финансирование'!AY22</f>
        <v/>
      </c>
      <c r="AZ18" s="53">
        <f>'Долговое финансирование'!AZ22</f>
        <v/>
      </c>
      <c r="BA18" s="53">
        <f>'Долговое финансирование'!BA22</f>
        <v/>
      </c>
      <c r="BB18" s="53">
        <f>'Долговое финансирование'!BB22</f>
        <v/>
      </c>
      <c r="BC18" s="53">
        <f>'Долговое финансирование'!BC22</f>
        <v/>
      </c>
      <c r="BD18" s="53">
        <f>'Долговое финансирование'!BD22</f>
        <v/>
      </c>
      <c r="BE18" s="53">
        <f>'Долговое финансирование'!BE22</f>
        <v/>
      </c>
      <c r="BF18" s="53">
        <f>'Долговое финансирование'!BF22</f>
        <v/>
      </c>
      <c r="BG18" s="53">
        <f>'Долговое финансирование'!BG22</f>
        <v/>
      </c>
      <c r="BH18" s="53">
        <f>'Долговое финансирование'!BH22</f>
        <v/>
      </c>
      <c r="BI18" s="53">
        <f>'Долговое финансирование'!BI22</f>
        <v/>
      </c>
      <c r="BJ18" s="53">
        <f>'Долговое финансирование'!BJ22</f>
        <v/>
      </c>
      <c r="BK18" s="53">
        <f>'Долговое финансирование'!BK22</f>
        <v/>
      </c>
      <c r="BL18" s="53">
        <f>'Долговое финансирование'!BL22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>
      <c r="A19" s="93" t="inlineStr">
        <is>
          <t>− Погашение revolver (из Долг)</t>
        </is>
      </c>
      <c r="B19" s="97" t="inlineStr">
        <is>
          <t>млн ₽</t>
        </is>
      </c>
      <c r="C19" s="53">
        <f>SUM(BN19:BR19)</f>
        <v/>
      </c>
      <c r="D19" s="45" t="inlineStr"/>
      <c r="E19" s="53">
        <f>-'Долговое финансирование'!E23</f>
        <v/>
      </c>
      <c r="F19" s="53">
        <f>-'Долговое финансирование'!F23</f>
        <v/>
      </c>
      <c r="G19" s="53">
        <f>-'Долговое финансирование'!G23</f>
        <v/>
      </c>
      <c r="H19" s="53">
        <f>-'Долговое финансирование'!H23</f>
        <v/>
      </c>
      <c r="I19" s="53">
        <f>-'Долговое финансирование'!I23</f>
        <v/>
      </c>
      <c r="J19" s="53">
        <f>-'Долговое финансирование'!J23</f>
        <v/>
      </c>
      <c r="K19" s="53">
        <f>-'Долговое финансирование'!K23</f>
        <v/>
      </c>
      <c r="L19" s="53">
        <f>-'Долговое финансирование'!L23</f>
        <v/>
      </c>
      <c r="M19" s="53">
        <f>-'Долговое финансирование'!M23</f>
        <v/>
      </c>
      <c r="N19" s="53">
        <f>-'Долговое финансирование'!N23</f>
        <v/>
      </c>
      <c r="O19" s="53">
        <f>-'Долговое финансирование'!O23</f>
        <v/>
      </c>
      <c r="P19" s="53">
        <f>-'Долговое финансирование'!P23</f>
        <v/>
      </c>
      <c r="Q19" s="53">
        <f>-'Долговое финансирование'!Q23</f>
        <v/>
      </c>
      <c r="R19" s="53">
        <f>-'Долговое финансирование'!R23</f>
        <v/>
      </c>
      <c r="S19" s="53">
        <f>-'Долговое финансирование'!S23</f>
        <v/>
      </c>
      <c r="T19" s="53">
        <f>-'Долговое финансирование'!T23</f>
        <v/>
      </c>
      <c r="U19" s="53">
        <f>-'Долговое финансирование'!U23</f>
        <v/>
      </c>
      <c r="V19" s="53">
        <f>-'Долговое финансирование'!V23</f>
        <v/>
      </c>
      <c r="W19" s="53">
        <f>-'Долговое финансирование'!W23</f>
        <v/>
      </c>
      <c r="X19" s="53">
        <f>-'Долговое финансирование'!X23</f>
        <v/>
      </c>
      <c r="Y19" s="53">
        <f>-'Долговое финансирование'!Y23</f>
        <v/>
      </c>
      <c r="Z19" s="53">
        <f>-'Долговое финансирование'!Z23</f>
        <v/>
      </c>
      <c r="AA19" s="53">
        <f>-'Долговое финансирование'!AA23</f>
        <v/>
      </c>
      <c r="AB19" s="53">
        <f>-'Долговое финансирование'!AB23</f>
        <v/>
      </c>
      <c r="AC19" s="53">
        <f>-'Долговое финансирование'!AC23</f>
        <v/>
      </c>
      <c r="AD19" s="53">
        <f>-'Долговое финансирование'!AD23</f>
        <v/>
      </c>
      <c r="AE19" s="53">
        <f>-'Долговое финансирование'!AE23</f>
        <v/>
      </c>
      <c r="AF19" s="53">
        <f>-'Долговое финансирование'!AF23</f>
        <v/>
      </c>
      <c r="AG19" s="53">
        <f>-'Долговое финансирование'!AG23</f>
        <v/>
      </c>
      <c r="AH19" s="53">
        <f>-'Долговое финансирование'!AH23</f>
        <v/>
      </c>
      <c r="AI19" s="53">
        <f>-'Долговое финансирование'!AI23</f>
        <v/>
      </c>
      <c r="AJ19" s="53">
        <f>-'Долговое финансирование'!AJ23</f>
        <v/>
      </c>
      <c r="AK19" s="53">
        <f>-'Долговое финансирование'!AK23</f>
        <v/>
      </c>
      <c r="AL19" s="53">
        <f>-'Долговое финансирование'!AL23</f>
        <v/>
      </c>
      <c r="AM19" s="53">
        <f>-'Долговое финансирование'!AM23</f>
        <v/>
      </c>
      <c r="AN19" s="53">
        <f>-'Долговое финансирование'!AN23</f>
        <v/>
      </c>
      <c r="AO19" s="53">
        <f>-'Долговое финансирование'!AO23</f>
        <v/>
      </c>
      <c r="AP19" s="53">
        <f>-'Долговое финансирование'!AP23</f>
        <v/>
      </c>
      <c r="AQ19" s="53">
        <f>-'Долговое финансирование'!AQ23</f>
        <v/>
      </c>
      <c r="AR19" s="53">
        <f>-'Долговое финансирование'!AR23</f>
        <v/>
      </c>
      <c r="AS19" s="53">
        <f>-'Долговое финансирование'!AS23</f>
        <v/>
      </c>
      <c r="AT19" s="53">
        <f>-'Долговое финансирование'!AT23</f>
        <v/>
      </c>
      <c r="AU19" s="53">
        <f>-'Долговое финансирование'!AU23</f>
        <v/>
      </c>
      <c r="AV19" s="53">
        <f>-'Долговое финансирование'!AV23</f>
        <v/>
      </c>
      <c r="AW19" s="53">
        <f>-'Долговое финансирование'!AW23</f>
        <v/>
      </c>
      <c r="AX19" s="53">
        <f>-'Долговое финансирование'!AX23</f>
        <v/>
      </c>
      <c r="AY19" s="53">
        <f>-'Долговое финансирование'!AY23</f>
        <v/>
      </c>
      <c r="AZ19" s="53">
        <f>-'Долговое финансирование'!AZ23</f>
        <v/>
      </c>
      <c r="BA19" s="53">
        <f>-'Долговое финансирование'!BA23</f>
        <v/>
      </c>
      <c r="BB19" s="53">
        <f>-'Долговое финансирование'!BB23</f>
        <v/>
      </c>
      <c r="BC19" s="53">
        <f>-'Долговое финансирование'!BC23</f>
        <v/>
      </c>
      <c r="BD19" s="53">
        <f>-'Долговое финансирование'!BD23</f>
        <v/>
      </c>
      <c r="BE19" s="53">
        <f>-'Долговое финансирование'!BE23</f>
        <v/>
      </c>
      <c r="BF19" s="53">
        <f>-'Долговое финансирование'!BF23</f>
        <v/>
      </c>
      <c r="BG19" s="53">
        <f>-'Долговое финансирование'!BG23</f>
        <v/>
      </c>
      <c r="BH19" s="53">
        <f>-'Долговое финансирование'!BH23</f>
        <v/>
      </c>
      <c r="BI19" s="53">
        <f>-'Долговое финансирование'!BI23</f>
        <v/>
      </c>
      <c r="BJ19" s="53">
        <f>-'Долговое финансирование'!BJ23</f>
        <v/>
      </c>
      <c r="BK19" s="53">
        <f>-'Долговое финансирование'!BK23</f>
        <v/>
      </c>
      <c r="BL19" s="53">
        <f>-'Долговое финансирование'!BL23</f>
        <v/>
      </c>
      <c r="BN19" s="53">
        <f>SUM(E19:P19)</f>
        <v/>
      </c>
      <c r="BO19" s="53">
        <f>SUM(Q19:AB19)</f>
        <v/>
      </c>
      <c r="BP19" s="53">
        <f>SUM(AC19:AN19)</f>
        <v/>
      </c>
      <c r="BQ19" s="53">
        <f>SUM(AO19:AZ19)</f>
        <v/>
      </c>
      <c r="BR19" s="53">
        <f>SUM(BA19:BL19)</f>
        <v/>
      </c>
    </row>
    <row r="20">
      <c r="A20" s="80" t="inlineStr">
        <is>
          <t xml:space="preserve"> = CFF (финансовый)</t>
        </is>
      </c>
      <c r="B20" s="98" t="inlineStr">
        <is>
          <t>млн ₽</t>
        </is>
      </c>
      <c r="C20" s="82">
        <f>SUM(BN20:BR20)</f>
        <v/>
      </c>
      <c r="D20" s="45" t="inlineStr"/>
      <c r="E20" s="82">
        <f>E17+E18+E19</f>
        <v/>
      </c>
      <c r="F20" s="82">
        <f>F17+F18+F19</f>
        <v/>
      </c>
      <c r="G20" s="82">
        <f>G17+G18+G19</f>
        <v/>
      </c>
      <c r="H20" s="82">
        <f>H17+H18+H19</f>
        <v/>
      </c>
      <c r="I20" s="82">
        <f>I17+I18+I19</f>
        <v/>
      </c>
      <c r="J20" s="82">
        <f>J17+J18+J19</f>
        <v/>
      </c>
      <c r="K20" s="82">
        <f>K17+K18+K19</f>
        <v/>
      </c>
      <c r="L20" s="82">
        <f>L17+L18+L19</f>
        <v/>
      </c>
      <c r="M20" s="82">
        <f>M17+M18+M19</f>
        <v/>
      </c>
      <c r="N20" s="82">
        <f>N17+N18+N19</f>
        <v/>
      </c>
      <c r="O20" s="82">
        <f>O17+O18+O19</f>
        <v/>
      </c>
      <c r="P20" s="82">
        <f>P17+P18+P19</f>
        <v/>
      </c>
      <c r="Q20" s="82">
        <f>Q17+Q18+Q19</f>
        <v/>
      </c>
      <c r="R20" s="82">
        <f>R17+R18+R19</f>
        <v/>
      </c>
      <c r="S20" s="82">
        <f>S17+S18+S19</f>
        <v/>
      </c>
      <c r="T20" s="82">
        <f>T17+T18+T19</f>
        <v/>
      </c>
      <c r="U20" s="82">
        <f>U17+U18+U19</f>
        <v/>
      </c>
      <c r="V20" s="82">
        <f>V17+V18+V19</f>
        <v/>
      </c>
      <c r="W20" s="82">
        <f>W17+W18+W19</f>
        <v/>
      </c>
      <c r="X20" s="82">
        <f>X17+X18+X19</f>
        <v/>
      </c>
      <c r="Y20" s="82">
        <f>Y17+Y18+Y19</f>
        <v/>
      </c>
      <c r="Z20" s="82">
        <f>Z17+Z18+Z19</f>
        <v/>
      </c>
      <c r="AA20" s="82">
        <f>AA17+AA18+AA19</f>
        <v/>
      </c>
      <c r="AB20" s="82">
        <f>AB17+AB18+AB19</f>
        <v/>
      </c>
      <c r="AC20" s="82">
        <f>AC17+AC18+AC19</f>
        <v/>
      </c>
      <c r="AD20" s="82">
        <f>AD17+AD18+AD19</f>
        <v/>
      </c>
      <c r="AE20" s="82">
        <f>AE17+AE18+AE19</f>
        <v/>
      </c>
      <c r="AF20" s="82">
        <f>AF17+AF18+AF19</f>
        <v/>
      </c>
      <c r="AG20" s="82">
        <f>AG17+AG18+AG19</f>
        <v/>
      </c>
      <c r="AH20" s="82">
        <f>AH17+AH18+AH19</f>
        <v/>
      </c>
      <c r="AI20" s="82">
        <f>AI17+AI18+AI19</f>
        <v/>
      </c>
      <c r="AJ20" s="82">
        <f>AJ17+AJ18+AJ19</f>
        <v/>
      </c>
      <c r="AK20" s="82">
        <f>AK17+AK18+AK19</f>
        <v/>
      </c>
      <c r="AL20" s="82">
        <f>AL17+AL18+AL19</f>
        <v/>
      </c>
      <c r="AM20" s="82">
        <f>AM17+AM18+AM19</f>
        <v/>
      </c>
      <c r="AN20" s="82">
        <f>AN17+AN18+AN19</f>
        <v/>
      </c>
      <c r="AO20" s="82">
        <f>AO17+AO18+AO19</f>
        <v/>
      </c>
      <c r="AP20" s="82">
        <f>AP17+AP18+AP19</f>
        <v/>
      </c>
      <c r="AQ20" s="82">
        <f>AQ17+AQ18+AQ19</f>
        <v/>
      </c>
      <c r="AR20" s="82">
        <f>AR17+AR18+AR19</f>
        <v/>
      </c>
      <c r="AS20" s="82">
        <f>AS17+AS18+AS19</f>
        <v/>
      </c>
      <c r="AT20" s="82">
        <f>AT17+AT18+AT19</f>
        <v/>
      </c>
      <c r="AU20" s="82">
        <f>AU17+AU18+AU19</f>
        <v/>
      </c>
      <c r="AV20" s="82">
        <f>AV17+AV18+AV19</f>
        <v/>
      </c>
      <c r="AW20" s="82">
        <f>AW17+AW18+AW19</f>
        <v/>
      </c>
      <c r="AX20" s="82">
        <f>AX17+AX18+AX19</f>
        <v/>
      </c>
      <c r="AY20" s="82">
        <f>AY17+AY18+AY19</f>
        <v/>
      </c>
      <c r="AZ20" s="82">
        <f>AZ17+AZ18+AZ19</f>
        <v/>
      </c>
      <c r="BA20" s="82">
        <f>BA17+BA18+BA19</f>
        <v/>
      </c>
      <c r="BB20" s="82">
        <f>BB17+BB18+BB19</f>
        <v/>
      </c>
      <c r="BC20" s="82">
        <f>BC17+BC18+BC19</f>
        <v/>
      </c>
      <c r="BD20" s="82">
        <f>BD17+BD18+BD19</f>
        <v/>
      </c>
      <c r="BE20" s="82">
        <f>BE17+BE18+BE19</f>
        <v/>
      </c>
      <c r="BF20" s="82">
        <f>BF17+BF18+BF19</f>
        <v/>
      </c>
      <c r="BG20" s="82">
        <f>BG17+BG18+BG19</f>
        <v/>
      </c>
      <c r="BH20" s="82">
        <f>BH17+BH18+BH19</f>
        <v/>
      </c>
      <c r="BI20" s="82">
        <f>BI17+BI18+BI19</f>
        <v/>
      </c>
      <c r="BJ20" s="82">
        <f>BJ17+BJ18+BJ19</f>
        <v/>
      </c>
      <c r="BK20" s="82">
        <f>BK17+BK18+BK19</f>
        <v/>
      </c>
      <c r="BL20" s="82">
        <f>BL17+BL18+BL19</f>
        <v/>
      </c>
      <c r="BN20" s="82">
        <f>SUM(E20:P20)</f>
        <v/>
      </c>
      <c r="BO20" s="82">
        <f>SUM(Q20:AB20)</f>
        <v/>
      </c>
      <c r="BP20" s="82">
        <f>SUM(AC20:AN20)</f>
        <v/>
      </c>
      <c r="BQ20" s="82">
        <f>SUM(AO20:AZ20)</f>
        <v/>
      </c>
      <c r="BR20" s="82">
        <f>SUM(BA20:BL20)</f>
        <v/>
      </c>
    </row>
    <row r="21"/>
    <row r="22" ht="22" customHeight="1">
      <c r="A22" s="41" t="inlineStr">
        <is>
          <t xml:space="preserve">  ИЗМЕНЕНИЕ ДЕНЕЖНЫХ СРЕДСТВ</t>
        </is>
      </c>
    </row>
    <row r="23">
      <c r="A23" s="51" t="inlineStr">
        <is>
          <t>∆Cash = CFO + CFI + CFF</t>
        </is>
      </c>
      <c r="B23" s="96" t="inlineStr">
        <is>
          <t>млн ₽</t>
        </is>
      </c>
      <c r="C23" s="67">
        <f>SUM(BN23:BR23)</f>
        <v/>
      </c>
      <c r="D23" s="45" t="inlineStr"/>
      <c r="E23" s="67">
        <f>E10+E14+E20</f>
        <v/>
      </c>
      <c r="F23" s="67">
        <f>F10+F14+F20</f>
        <v/>
      </c>
      <c r="G23" s="67">
        <f>G10+G14+G20</f>
        <v/>
      </c>
      <c r="H23" s="67">
        <f>H10+H14+H20</f>
        <v/>
      </c>
      <c r="I23" s="67">
        <f>I10+I14+I20</f>
        <v/>
      </c>
      <c r="J23" s="67">
        <f>J10+J14+J20</f>
        <v/>
      </c>
      <c r="K23" s="67">
        <f>K10+K14+K20</f>
        <v/>
      </c>
      <c r="L23" s="67">
        <f>L10+L14+L20</f>
        <v/>
      </c>
      <c r="M23" s="67">
        <f>M10+M14+M20</f>
        <v/>
      </c>
      <c r="N23" s="67">
        <f>N10+N14+N20</f>
        <v/>
      </c>
      <c r="O23" s="67">
        <f>O10+O14+O20</f>
        <v/>
      </c>
      <c r="P23" s="67">
        <f>P10+P14+P20</f>
        <v/>
      </c>
      <c r="Q23" s="67">
        <f>Q10+Q14+Q20</f>
        <v/>
      </c>
      <c r="R23" s="67">
        <f>R10+R14+R20</f>
        <v/>
      </c>
      <c r="S23" s="67">
        <f>S10+S14+S20</f>
        <v/>
      </c>
      <c r="T23" s="67">
        <f>T10+T14+T20</f>
        <v/>
      </c>
      <c r="U23" s="67">
        <f>U10+U14+U20</f>
        <v/>
      </c>
      <c r="V23" s="67">
        <f>V10+V14+V20</f>
        <v/>
      </c>
      <c r="W23" s="67">
        <f>W10+W14+W20</f>
        <v/>
      </c>
      <c r="X23" s="67">
        <f>X10+X14+X20</f>
        <v/>
      </c>
      <c r="Y23" s="67">
        <f>Y10+Y14+Y20</f>
        <v/>
      </c>
      <c r="Z23" s="67">
        <f>Z10+Z14+Z20</f>
        <v/>
      </c>
      <c r="AA23" s="67">
        <f>AA10+AA14+AA20</f>
        <v/>
      </c>
      <c r="AB23" s="67">
        <f>AB10+AB14+AB20</f>
        <v/>
      </c>
      <c r="AC23" s="67">
        <f>AC10+AC14+AC20</f>
        <v/>
      </c>
      <c r="AD23" s="67">
        <f>AD10+AD14+AD20</f>
        <v/>
      </c>
      <c r="AE23" s="67">
        <f>AE10+AE14+AE20</f>
        <v/>
      </c>
      <c r="AF23" s="67">
        <f>AF10+AF14+AF20</f>
        <v/>
      </c>
      <c r="AG23" s="67">
        <f>AG10+AG14+AG20</f>
        <v/>
      </c>
      <c r="AH23" s="67">
        <f>AH10+AH14+AH20</f>
        <v/>
      </c>
      <c r="AI23" s="67">
        <f>AI10+AI14+AI20</f>
        <v/>
      </c>
      <c r="AJ23" s="67">
        <f>AJ10+AJ14+AJ20</f>
        <v/>
      </c>
      <c r="AK23" s="67">
        <f>AK10+AK14+AK20</f>
        <v/>
      </c>
      <c r="AL23" s="67">
        <f>AL10+AL14+AL20</f>
        <v/>
      </c>
      <c r="AM23" s="67">
        <f>AM10+AM14+AM20</f>
        <v/>
      </c>
      <c r="AN23" s="67">
        <f>AN10+AN14+AN20</f>
        <v/>
      </c>
      <c r="AO23" s="67">
        <f>AO10+AO14+AO20</f>
        <v/>
      </c>
      <c r="AP23" s="67">
        <f>AP10+AP14+AP20</f>
        <v/>
      </c>
      <c r="AQ23" s="67">
        <f>AQ10+AQ14+AQ20</f>
        <v/>
      </c>
      <c r="AR23" s="67">
        <f>AR10+AR14+AR20</f>
        <v/>
      </c>
      <c r="AS23" s="67">
        <f>AS10+AS14+AS20</f>
        <v/>
      </c>
      <c r="AT23" s="67">
        <f>AT10+AT14+AT20</f>
        <v/>
      </c>
      <c r="AU23" s="67">
        <f>AU10+AU14+AU20</f>
        <v/>
      </c>
      <c r="AV23" s="67">
        <f>AV10+AV14+AV20</f>
        <v/>
      </c>
      <c r="AW23" s="67">
        <f>AW10+AW14+AW20</f>
        <v/>
      </c>
      <c r="AX23" s="67">
        <f>AX10+AX14+AX20</f>
        <v/>
      </c>
      <c r="AY23" s="67">
        <f>AY10+AY14+AY20</f>
        <v/>
      </c>
      <c r="AZ23" s="67">
        <f>AZ10+AZ14+AZ20</f>
        <v/>
      </c>
      <c r="BA23" s="67">
        <f>BA10+BA14+BA20</f>
        <v/>
      </c>
      <c r="BB23" s="67">
        <f>BB10+BB14+BB20</f>
        <v/>
      </c>
      <c r="BC23" s="67">
        <f>BC10+BC14+BC20</f>
        <v/>
      </c>
      <c r="BD23" s="67">
        <f>BD10+BD14+BD20</f>
        <v/>
      </c>
      <c r="BE23" s="67">
        <f>BE10+BE14+BE20</f>
        <v/>
      </c>
      <c r="BF23" s="67">
        <f>BF10+BF14+BF20</f>
        <v/>
      </c>
      <c r="BG23" s="67">
        <f>BG10+BG14+BG20</f>
        <v/>
      </c>
      <c r="BH23" s="67">
        <f>BH10+BH14+BH20</f>
        <v/>
      </c>
      <c r="BI23" s="67">
        <f>BI10+BI14+BI20</f>
        <v/>
      </c>
      <c r="BJ23" s="67">
        <f>BJ10+BJ14+BJ20</f>
        <v/>
      </c>
      <c r="BK23" s="67">
        <f>BK10+BK14+BK20</f>
        <v/>
      </c>
      <c r="BL23" s="67">
        <f>BL10+BL14+BL20</f>
        <v/>
      </c>
      <c r="BN23" s="67">
        <f>SUM(E23:P23)</f>
        <v/>
      </c>
      <c r="BO23" s="67">
        <f>SUM(Q23:AB23)</f>
        <v/>
      </c>
      <c r="BP23" s="67">
        <f>SUM(AC23:AN23)</f>
        <v/>
      </c>
      <c r="BQ23" s="67">
        <f>SUM(AO23:AZ23)</f>
        <v/>
      </c>
      <c r="BR23" s="67">
        <f>SUM(BA23:BL23)</f>
        <v/>
      </c>
    </row>
    <row r="24">
      <c r="A24" s="42" t="inlineStr">
        <is>
          <t xml:space="preserve">    Cash — начало месяца</t>
        </is>
      </c>
      <c r="B24" s="43" t="inlineStr">
        <is>
          <t>млн ₽</t>
        </is>
      </c>
      <c r="C24" s="48" t="inlineStr">
        <is>
          <t>—</t>
        </is>
      </c>
      <c r="D24" s="45" t="inlineStr"/>
      <c r="E24" s="53">
        <f>Input!BN100</f>
        <v/>
      </c>
      <c r="F24" s="53">
        <f>E25</f>
        <v/>
      </c>
      <c r="G24" s="53">
        <f>F25</f>
        <v/>
      </c>
      <c r="H24" s="53">
        <f>G25</f>
        <v/>
      </c>
      <c r="I24" s="53">
        <f>H25</f>
        <v/>
      </c>
      <c r="J24" s="53">
        <f>I25</f>
        <v/>
      </c>
      <c r="K24" s="53">
        <f>J25</f>
        <v/>
      </c>
      <c r="L24" s="53">
        <f>K25</f>
        <v/>
      </c>
      <c r="M24" s="53">
        <f>L25</f>
        <v/>
      </c>
      <c r="N24" s="53">
        <f>M25</f>
        <v/>
      </c>
      <c r="O24" s="53">
        <f>N25</f>
        <v/>
      </c>
      <c r="P24" s="53">
        <f>O25</f>
        <v/>
      </c>
      <c r="Q24" s="53">
        <f>P25</f>
        <v/>
      </c>
      <c r="R24" s="53">
        <f>Q25</f>
        <v/>
      </c>
      <c r="S24" s="53">
        <f>R25</f>
        <v/>
      </c>
      <c r="T24" s="53">
        <f>S25</f>
        <v/>
      </c>
      <c r="U24" s="53">
        <f>T25</f>
        <v/>
      </c>
      <c r="V24" s="53">
        <f>U25</f>
        <v/>
      </c>
      <c r="W24" s="53">
        <f>V25</f>
        <v/>
      </c>
      <c r="X24" s="53">
        <f>W25</f>
        <v/>
      </c>
      <c r="Y24" s="53">
        <f>X25</f>
        <v/>
      </c>
      <c r="Z24" s="53">
        <f>Y25</f>
        <v/>
      </c>
      <c r="AA24" s="53">
        <f>Z25</f>
        <v/>
      </c>
      <c r="AB24" s="53">
        <f>AA25</f>
        <v/>
      </c>
      <c r="AC24" s="53">
        <f>AB25</f>
        <v/>
      </c>
      <c r="AD24" s="53">
        <f>AC25</f>
        <v/>
      </c>
      <c r="AE24" s="53">
        <f>AD25</f>
        <v/>
      </c>
      <c r="AF24" s="53">
        <f>AE25</f>
        <v/>
      </c>
      <c r="AG24" s="53">
        <f>AF25</f>
        <v/>
      </c>
      <c r="AH24" s="53">
        <f>AG25</f>
        <v/>
      </c>
      <c r="AI24" s="53">
        <f>AH25</f>
        <v/>
      </c>
      <c r="AJ24" s="53">
        <f>AI25</f>
        <v/>
      </c>
      <c r="AK24" s="53">
        <f>AJ25</f>
        <v/>
      </c>
      <c r="AL24" s="53">
        <f>AK25</f>
        <v/>
      </c>
      <c r="AM24" s="53">
        <f>AL25</f>
        <v/>
      </c>
      <c r="AN24" s="53">
        <f>AM25</f>
        <v/>
      </c>
      <c r="AO24" s="53">
        <f>AN25</f>
        <v/>
      </c>
      <c r="AP24" s="53">
        <f>AO25</f>
        <v/>
      </c>
      <c r="AQ24" s="53">
        <f>AP25</f>
        <v/>
      </c>
      <c r="AR24" s="53">
        <f>AQ25</f>
        <v/>
      </c>
      <c r="AS24" s="53">
        <f>AR25</f>
        <v/>
      </c>
      <c r="AT24" s="53">
        <f>AS25</f>
        <v/>
      </c>
      <c r="AU24" s="53">
        <f>AT25</f>
        <v/>
      </c>
      <c r="AV24" s="53">
        <f>AU25</f>
        <v/>
      </c>
      <c r="AW24" s="53">
        <f>AV25</f>
        <v/>
      </c>
      <c r="AX24" s="53">
        <f>AW25</f>
        <v/>
      </c>
      <c r="AY24" s="53">
        <f>AX25</f>
        <v/>
      </c>
      <c r="AZ24" s="53">
        <f>AY25</f>
        <v/>
      </c>
      <c r="BA24" s="53">
        <f>AZ25</f>
        <v/>
      </c>
      <c r="BB24" s="53">
        <f>BA25</f>
        <v/>
      </c>
      <c r="BC24" s="53">
        <f>BB25</f>
        <v/>
      </c>
      <c r="BD24" s="53">
        <f>BC25</f>
        <v/>
      </c>
      <c r="BE24" s="53">
        <f>BD25</f>
        <v/>
      </c>
      <c r="BF24" s="53">
        <f>BE25</f>
        <v/>
      </c>
      <c r="BG24" s="53">
        <f>BF25</f>
        <v/>
      </c>
      <c r="BH24" s="53">
        <f>BG25</f>
        <v/>
      </c>
      <c r="BI24" s="53">
        <f>BH25</f>
        <v/>
      </c>
      <c r="BJ24" s="53">
        <f>BI25</f>
        <v/>
      </c>
      <c r="BK24" s="53">
        <f>BJ25</f>
        <v/>
      </c>
      <c r="BL24" s="53">
        <f>BK25</f>
        <v/>
      </c>
      <c r="BN24" s="53">
        <f>E24</f>
        <v/>
      </c>
      <c r="BO24" s="53">
        <f>Q24</f>
        <v/>
      </c>
      <c r="BP24" s="53">
        <f>AC24</f>
        <v/>
      </c>
      <c r="BQ24" s="53">
        <f>AO24</f>
        <v/>
      </c>
      <c r="BR24" s="53">
        <f>BA24</f>
        <v/>
      </c>
    </row>
    <row r="25">
      <c r="A25" s="80" t="inlineStr">
        <is>
          <t xml:space="preserve"> = Cash — конец месяца</t>
        </is>
      </c>
      <c r="B25" s="98" t="inlineStr">
        <is>
          <t>млн ₽</t>
        </is>
      </c>
      <c r="C25" s="48" t="inlineStr">
        <is>
          <t>—</t>
        </is>
      </c>
      <c r="D25" s="45" t="inlineStr"/>
      <c r="E25" s="82">
        <f>E24+E23</f>
        <v/>
      </c>
      <c r="F25" s="82">
        <f>F24+F23</f>
        <v/>
      </c>
      <c r="G25" s="82">
        <f>G24+G23</f>
        <v/>
      </c>
      <c r="H25" s="82">
        <f>H24+H23</f>
        <v/>
      </c>
      <c r="I25" s="82">
        <f>I24+I23</f>
        <v/>
      </c>
      <c r="J25" s="82">
        <f>J24+J23</f>
        <v/>
      </c>
      <c r="K25" s="82">
        <f>K24+K23</f>
        <v/>
      </c>
      <c r="L25" s="82">
        <f>L24+L23</f>
        <v/>
      </c>
      <c r="M25" s="82">
        <f>M24+M23</f>
        <v/>
      </c>
      <c r="N25" s="82">
        <f>N24+N23</f>
        <v/>
      </c>
      <c r="O25" s="82">
        <f>O24+O23</f>
        <v/>
      </c>
      <c r="P25" s="82">
        <f>P24+P23</f>
        <v/>
      </c>
      <c r="Q25" s="82">
        <f>Q24+Q23</f>
        <v/>
      </c>
      <c r="R25" s="82">
        <f>R24+R23</f>
        <v/>
      </c>
      <c r="S25" s="82">
        <f>S24+S23</f>
        <v/>
      </c>
      <c r="T25" s="82">
        <f>T24+T23</f>
        <v/>
      </c>
      <c r="U25" s="82">
        <f>U24+U23</f>
        <v/>
      </c>
      <c r="V25" s="82">
        <f>V24+V23</f>
        <v/>
      </c>
      <c r="W25" s="82">
        <f>W24+W23</f>
        <v/>
      </c>
      <c r="X25" s="82">
        <f>X24+X23</f>
        <v/>
      </c>
      <c r="Y25" s="82">
        <f>Y24+Y23</f>
        <v/>
      </c>
      <c r="Z25" s="82">
        <f>Z24+Z23</f>
        <v/>
      </c>
      <c r="AA25" s="82">
        <f>AA24+AA23</f>
        <v/>
      </c>
      <c r="AB25" s="82">
        <f>AB24+AB23</f>
        <v/>
      </c>
      <c r="AC25" s="82">
        <f>AC24+AC23</f>
        <v/>
      </c>
      <c r="AD25" s="82">
        <f>AD24+AD23</f>
        <v/>
      </c>
      <c r="AE25" s="82">
        <f>AE24+AE23</f>
        <v/>
      </c>
      <c r="AF25" s="82">
        <f>AF24+AF23</f>
        <v/>
      </c>
      <c r="AG25" s="82">
        <f>AG24+AG23</f>
        <v/>
      </c>
      <c r="AH25" s="82">
        <f>AH24+AH23</f>
        <v/>
      </c>
      <c r="AI25" s="82">
        <f>AI24+AI23</f>
        <v/>
      </c>
      <c r="AJ25" s="82">
        <f>AJ24+AJ23</f>
        <v/>
      </c>
      <c r="AK25" s="82">
        <f>AK24+AK23</f>
        <v/>
      </c>
      <c r="AL25" s="82">
        <f>AL24+AL23</f>
        <v/>
      </c>
      <c r="AM25" s="82">
        <f>AM24+AM23</f>
        <v/>
      </c>
      <c r="AN25" s="82">
        <f>AN24+AN23</f>
        <v/>
      </c>
      <c r="AO25" s="82">
        <f>AO24+AO23</f>
        <v/>
      </c>
      <c r="AP25" s="82">
        <f>AP24+AP23</f>
        <v/>
      </c>
      <c r="AQ25" s="82">
        <f>AQ24+AQ23</f>
        <v/>
      </c>
      <c r="AR25" s="82">
        <f>AR24+AR23</f>
        <v/>
      </c>
      <c r="AS25" s="82">
        <f>AS24+AS23</f>
        <v/>
      </c>
      <c r="AT25" s="82">
        <f>AT24+AT23</f>
        <v/>
      </c>
      <c r="AU25" s="82">
        <f>AU24+AU23</f>
        <v/>
      </c>
      <c r="AV25" s="82">
        <f>AV24+AV23</f>
        <v/>
      </c>
      <c r="AW25" s="82">
        <f>AW24+AW23</f>
        <v/>
      </c>
      <c r="AX25" s="82">
        <f>AX24+AX23</f>
        <v/>
      </c>
      <c r="AY25" s="82">
        <f>AY24+AY23</f>
        <v/>
      </c>
      <c r="AZ25" s="82">
        <f>AZ24+AZ23</f>
        <v/>
      </c>
      <c r="BA25" s="82">
        <f>BA24+BA23</f>
        <v/>
      </c>
      <c r="BB25" s="82">
        <f>BB24+BB23</f>
        <v/>
      </c>
      <c r="BC25" s="82">
        <f>BC24+BC23</f>
        <v/>
      </c>
      <c r="BD25" s="82">
        <f>BD24+BD23</f>
        <v/>
      </c>
      <c r="BE25" s="82">
        <f>BE24+BE23</f>
        <v/>
      </c>
      <c r="BF25" s="82">
        <f>BF24+BF23</f>
        <v/>
      </c>
      <c r="BG25" s="82">
        <f>BG24+BG23</f>
        <v/>
      </c>
      <c r="BH25" s="82">
        <f>BH24+BH23</f>
        <v/>
      </c>
      <c r="BI25" s="82">
        <f>BI24+BI23</f>
        <v/>
      </c>
      <c r="BJ25" s="82">
        <f>BJ24+BJ23</f>
        <v/>
      </c>
      <c r="BK25" s="82">
        <f>BK24+BK23</f>
        <v/>
      </c>
      <c r="BL25" s="82">
        <f>BL24+BL23</f>
        <v/>
      </c>
      <c r="BN25" s="82">
        <f>P25</f>
        <v/>
      </c>
      <c r="BO25" s="82">
        <f>AB25</f>
        <v/>
      </c>
      <c r="BP25" s="82">
        <f>AN25</f>
        <v/>
      </c>
      <c r="BQ25" s="82">
        <f>AZ25</f>
        <v/>
      </c>
      <c r="BR25" s="82">
        <f>BL25</f>
        <v/>
      </c>
    </row>
    <row r="26"/>
    <row r="27" ht="22" customHeight="1">
      <c r="A27" s="62" t="inlineStr">
        <is>
          <t xml:space="preserve">  СВЕРКА: Closing Cash = Cash баланса (плаг)</t>
        </is>
      </c>
    </row>
    <row r="28">
      <c r="A28" s="42" t="inlineStr">
        <is>
          <t xml:space="preserve">    Cash из Баланса (плаг)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88">
        <f>Баланс!E9</f>
        <v/>
      </c>
      <c r="F28" s="88">
        <f>Баланс!F9</f>
        <v/>
      </c>
      <c r="G28" s="88">
        <f>Баланс!G9</f>
        <v/>
      </c>
      <c r="H28" s="88">
        <f>Баланс!H9</f>
        <v/>
      </c>
      <c r="I28" s="88">
        <f>Баланс!I9</f>
        <v/>
      </c>
      <c r="J28" s="88">
        <f>Баланс!J9</f>
        <v/>
      </c>
      <c r="K28" s="88">
        <f>Баланс!K9</f>
        <v/>
      </c>
      <c r="L28" s="88">
        <f>Баланс!L9</f>
        <v/>
      </c>
      <c r="M28" s="88">
        <f>Баланс!M9</f>
        <v/>
      </c>
      <c r="N28" s="88">
        <f>Баланс!N9</f>
        <v/>
      </c>
      <c r="O28" s="88">
        <f>Баланс!O9</f>
        <v/>
      </c>
      <c r="P28" s="88">
        <f>Баланс!P9</f>
        <v/>
      </c>
      <c r="Q28" s="88">
        <f>Баланс!Q9</f>
        <v/>
      </c>
      <c r="R28" s="88">
        <f>Баланс!R9</f>
        <v/>
      </c>
      <c r="S28" s="88">
        <f>Баланс!S9</f>
        <v/>
      </c>
      <c r="T28" s="88">
        <f>Баланс!T9</f>
        <v/>
      </c>
      <c r="U28" s="88">
        <f>Баланс!U9</f>
        <v/>
      </c>
      <c r="V28" s="88">
        <f>Баланс!V9</f>
        <v/>
      </c>
      <c r="W28" s="88">
        <f>Баланс!W9</f>
        <v/>
      </c>
      <c r="X28" s="88">
        <f>Баланс!X9</f>
        <v/>
      </c>
      <c r="Y28" s="88">
        <f>Баланс!Y9</f>
        <v/>
      </c>
      <c r="Z28" s="88">
        <f>Баланс!Z9</f>
        <v/>
      </c>
      <c r="AA28" s="88">
        <f>Баланс!AA9</f>
        <v/>
      </c>
      <c r="AB28" s="88">
        <f>Баланс!AB9</f>
        <v/>
      </c>
      <c r="AC28" s="88">
        <f>Баланс!AC9</f>
        <v/>
      </c>
      <c r="AD28" s="88">
        <f>Баланс!AD9</f>
        <v/>
      </c>
      <c r="AE28" s="88">
        <f>Баланс!AE9</f>
        <v/>
      </c>
      <c r="AF28" s="88">
        <f>Баланс!AF9</f>
        <v/>
      </c>
      <c r="AG28" s="88">
        <f>Баланс!AG9</f>
        <v/>
      </c>
      <c r="AH28" s="88">
        <f>Баланс!AH9</f>
        <v/>
      </c>
      <c r="AI28" s="88">
        <f>Баланс!AI9</f>
        <v/>
      </c>
      <c r="AJ28" s="88">
        <f>Баланс!AJ9</f>
        <v/>
      </c>
      <c r="AK28" s="88">
        <f>Баланс!AK9</f>
        <v/>
      </c>
      <c r="AL28" s="88">
        <f>Баланс!AL9</f>
        <v/>
      </c>
      <c r="AM28" s="88">
        <f>Баланс!AM9</f>
        <v/>
      </c>
      <c r="AN28" s="88">
        <f>Баланс!AN9</f>
        <v/>
      </c>
      <c r="AO28" s="88">
        <f>Баланс!AO9</f>
        <v/>
      </c>
      <c r="AP28" s="88">
        <f>Баланс!AP9</f>
        <v/>
      </c>
      <c r="AQ28" s="88">
        <f>Баланс!AQ9</f>
        <v/>
      </c>
      <c r="AR28" s="88">
        <f>Баланс!AR9</f>
        <v/>
      </c>
      <c r="AS28" s="88">
        <f>Баланс!AS9</f>
        <v/>
      </c>
      <c r="AT28" s="88">
        <f>Баланс!AT9</f>
        <v/>
      </c>
      <c r="AU28" s="88">
        <f>Баланс!AU9</f>
        <v/>
      </c>
      <c r="AV28" s="88">
        <f>Баланс!AV9</f>
        <v/>
      </c>
      <c r="AW28" s="88">
        <f>Баланс!AW9</f>
        <v/>
      </c>
      <c r="AX28" s="88">
        <f>Баланс!AX9</f>
        <v/>
      </c>
      <c r="AY28" s="88">
        <f>Баланс!AY9</f>
        <v/>
      </c>
      <c r="AZ28" s="88">
        <f>Баланс!AZ9</f>
        <v/>
      </c>
      <c r="BA28" s="88">
        <f>Баланс!BA9</f>
        <v/>
      </c>
      <c r="BB28" s="88">
        <f>Баланс!BB9</f>
        <v/>
      </c>
      <c r="BC28" s="88">
        <f>Баланс!BC9</f>
        <v/>
      </c>
      <c r="BD28" s="88">
        <f>Баланс!BD9</f>
        <v/>
      </c>
      <c r="BE28" s="88">
        <f>Баланс!BE9</f>
        <v/>
      </c>
      <c r="BF28" s="88">
        <f>Баланс!BF9</f>
        <v/>
      </c>
      <c r="BG28" s="88">
        <f>Баланс!BG9</f>
        <v/>
      </c>
      <c r="BH28" s="88">
        <f>Баланс!BH9</f>
        <v/>
      </c>
      <c r="BI28" s="88">
        <f>Баланс!BI9</f>
        <v/>
      </c>
      <c r="BJ28" s="88">
        <f>Баланс!BJ9</f>
        <v/>
      </c>
      <c r="BK28" s="88">
        <f>Баланс!BK9</f>
        <v/>
      </c>
      <c r="BL28" s="88">
        <f>Баланс!BL9</f>
        <v/>
      </c>
      <c r="BN28" s="53">
        <f>P28</f>
        <v/>
      </c>
      <c r="BO28" s="53">
        <f>AB28</f>
        <v/>
      </c>
      <c r="BP28" s="53">
        <f>AN28</f>
        <v/>
      </c>
      <c r="BQ28" s="53">
        <f>AZ28</f>
        <v/>
      </c>
      <c r="BR28" s="53">
        <f>BL28</f>
        <v/>
      </c>
    </row>
    <row r="29">
      <c r="A29" s="51" t="inlineStr">
        <is>
          <t>Расхождение (CF − BS)</t>
        </is>
      </c>
      <c r="B29" s="52" t="inlineStr">
        <is>
          <t>млн ₽</t>
        </is>
      </c>
      <c r="C29" s="48" t="inlineStr">
        <is>
          <t>—</t>
        </is>
      </c>
      <c r="D29" s="45" t="inlineStr"/>
      <c r="E29" s="67">
        <f>E25-E28</f>
        <v/>
      </c>
      <c r="F29" s="67">
        <f>F25-F28</f>
        <v/>
      </c>
      <c r="G29" s="67">
        <f>G25-G28</f>
        <v/>
      </c>
      <c r="H29" s="67">
        <f>H25-H28</f>
        <v/>
      </c>
      <c r="I29" s="67">
        <f>I25-I28</f>
        <v/>
      </c>
      <c r="J29" s="67">
        <f>J25-J28</f>
        <v/>
      </c>
      <c r="K29" s="67">
        <f>K25-K28</f>
        <v/>
      </c>
      <c r="L29" s="67">
        <f>L25-L28</f>
        <v/>
      </c>
      <c r="M29" s="67">
        <f>M25-M28</f>
        <v/>
      </c>
      <c r="N29" s="67">
        <f>N25-N28</f>
        <v/>
      </c>
      <c r="O29" s="67">
        <f>O25-O28</f>
        <v/>
      </c>
      <c r="P29" s="67">
        <f>P25-P28</f>
        <v/>
      </c>
      <c r="Q29" s="67">
        <f>Q25-Q28</f>
        <v/>
      </c>
      <c r="R29" s="67">
        <f>R25-R28</f>
        <v/>
      </c>
      <c r="S29" s="67">
        <f>S25-S28</f>
        <v/>
      </c>
      <c r="T29" s="67">
        <f>T25-T28</f>
        <v/>
      </c>
      <c r="U29" s="67">
        <f>U25-U28</f>
        <v/>
      </c>
      <c r="V29" s="67">
        <f>V25-V28</f>
        <v/>
      </c>
      <c r="W29" s="67">
        <f>W25-W28</f>
        <v/>
      </c>
      <c r="X29" s="67">
        <f>X25-X28</f>
        <v/>
      </c>
      <c r="Y29" s="67">
        <f>Y25-Y28</f>
        <v/>
      </c>
      <c r="Z29" s="67">
        <f>Z25-Z28</f>
        <v/>
      </c>
      <c r="AA29" s="67">
        <f>AA25-AA28</f>
        <v/>
      </c>
      <c r="AB29" s="67">
        <f>AB25-AB28</f>
        <v/>
      </c>
      <c r="AC29" s="67">
        <f>AC25-AC28</f>
        <v/>
      </c>
      <c r="AD29" s="67">
        <f>AD25-AD28</f>
        <v/>
      </c>
      <c r="AE29" s="67">
        <f>AE25-AE28</f>
        <v/>
      </c>
      <c r="AF29" s="67">
        <f>AF25-AF28</f>
        <v/>
      </c>
      <c r="AG29" s="67">
        <f>AG25-AG28</f>
        <v/>
      </c>
      <c r="AH29" s="67">
        <f>AH25-AH28</f>
        <v/>
      </c>
      <c r="AI29" s="67">
        <f>AI25-AI28</f>
        <v/>
      </c>
      <c r="AJ29" s="67">
        <f>AJ25-AJ28</f>
        <v/>
      </c>
      <c r="AK29" s="67">
        <f>AK25-AK28</f>
        <v/>
      </c>
      <c r="AL29" s="67">
        <f>AL25-AL28</f>
        <v/>
      </c>
      <c r="AM29" s="67">
        <f>AM25-AM28</f>
        <v/>
      </c>
      <c r="AN29" s="67">
        <f>AN25-AN28</f>
        <v/>
      </c>
      <c r="AO29" s="67">
        <f>AO25-AO28</f>
        <v/>
      </c>
      <c r="AP29" s="67">
        <f>AP25-AP28</f>
        <v/>
      </c>
      <c r="AQ29" s="67">
        <f>AQ25-AQ28</f>
        <v/>
      </c>
      <c r="AR29" s="67">
        <f>AR25-AR28</f>
        <v/>
      </c>
      <c r="AS29" s="67">
        <f>AS25-AS28</f>
        <v/>
      </c>
      <c r="AT29" s="67">
        <f>AT25-AT28</f>
        <v/>
      </c>
      <c r="AU29" s="67">
        <f>AU25-AU28</f>
        <v/>
      </c>
      <c r="AV29" s="67">
        <f>AV25-AV28</f>
        <v/>
      </c>
      <c r="AW29" s="67">
        <f>AW25-AW28</f>
        <v/>
      </c>
      <c r="AX29" s="67">
        <f>AX25-AX28</f>
        <v/>
      </c>
      <c r="AY29" s="67">
        <f>AY25-AY28</f>
        <v/>
      </c>
      <c r="AZ29" s="67">
        <f>AZ25-AZ28</f>
        <v/>
      </c>
      <c r="BA29" s="67">
        <f>BA25-BA28</f>
        <v/>
      </c>
      <c r="BB29" s="67">
        <f>BB25-BB28</f>
        <v/>
      </c>
      <c r="BC29" s="67">
        <f>BC25-BC28</f>
        <v/>
      </c>
      <c r="BD29" s="67">
        <f>BD25-BD28</f>
        <v/>
      </c>
      <c r="BE29" s="67">
        <f>BE25-BE28</f>
        <v/>
      </c>
      <c r="BF29" s="67">
        <f>BF25-BF28</f>
        <v/>
      </c>
      <c r="BG29" s="67">
        <f>BG25-BG28</f>
        <v/>
      </c>
      <c r="BH29" s="67">
        <f>BH25-BH28</f>
        <v/>
      </c>
      <c r="BI29" s="67">
        <f>BI25-BI28</f>
        <v/>
      </c>
      <c r="BJ29" s="67">
        <f>BJ25-BJ28</f>
        <v/>
      </c>
      <c r="BK29" s="67">
        <f>BK25-BK28</f>
        <v/>
      </c>
      <c r="BL29" s="67">
        <f>BL25-BL28</f>
        <v/>
      </c>
      <c r="BN29" s="67">
        <f>BN25-BN28</f>
        <v/>
      </c>
      <c r="BO29" s="67">
        <f>BO25-BO28</f>
        <v/>
      </c>
      <c r="BP29" s="67">
        <f>BP25-BP28</f>
        <v/>
      </c>
      <c r="BQ29" s="67">
        <f>BQ25-BQ28</f>
        <v/>
      </c>
      <c r="BR29" s="67">
        <f>BR25-BR28</f>
        <v/>
      </c>
    </row>
    <row r="30"/>
    <row r="31" ht="22" customHeight="1">
      <c r="A31" s="41" t="inlineStr">
        <is>
          <t xml:space="preserve">  DCF VALUATION (помесячный)</t>
        </is>
      </c>
    </row>
    <row r="32">
      <c r="A32" s="99" t="inlineStr">
        <is>
          <t>WACC/g — макро-блок Input (живой DCF)</t>
        </is>
      </c>
      <c r="B32" s="75" t="n"/>
      <c r="C32" s="75" t="n"/>
      <c r="D32" s="75" t="n"/>
      <c r="E32" s="75" t="n"/>
      <c r="F32" s="75" t="n"/>
      <c r="G32" s="75" t="n"/>
      <c r="H32" s="75" t="n"/>
      <c r="I32" s="75" t="n"/>
      <c r="J32" s="75" t="n"/>
      <c r="K32" s="75" t="n"/>
      <c r="L32" s="75" t="n"/>
      <c r="M32" s="75" t="n"/>
      <c r="N32" s="75" t="n"/>
      <c r="O32" s="75" t="n"/>
      <c r="P32" s="75" t="n"/>
      <c r="Q32" s="75" t="n"/>
      <c r="R32" s="75" t="n"/>
      <c r="S32" s="75" t="n"/>
      <c r="T32" s="75" t="n"/>
      <c r="U32" s="75" t="n"/>
      <c r="V32" s="75" t="n"/>
      <c r="W32" s="75" t="n"/>
      <c r="X32" s="75" t="n"/>
      <c r="Y32" s="75" t="n"/>
      <c r="Z32" s="75" t="n"/>
      <c r="AA32" s="75" t="n"/>
      <c r="AB32" s="75" t="n"/>
      <c r="AC32" s="75" t="n"/>
      <c r="AD32" s="75" t="n"/>
      <c r="AE32" s="75" t="n"/>
      <c r="AF32" s="75" t="n"/>
      <c r="AG32" s="75" t="n"/>
      <c r="AH32" s="75" t="n"/>
      <c r="AI32" s="75" t="n"/>
      <c r="AJ32" s="75" t="n"/>
      <c r="AK32" s="75" t="n"/>
      <c r="AL32" s="75" t="n"/>
      <c r="AM32" s="75" t="n"/>
      <c r="AN32" s="75" t="n"/>
      <c r="AO32" s="75" t="n"/>
      <c r="AP32" s="75" t="n"/>
      <c r="AQ32" s="75" t="n"/>
      <c r="AR32" s="75" t="n"/>
      <c r="AS32" s="75" t="n"/>
      <c r="AT32" s="75" t="n"/>
      <c r="AU32" s="75" t="n"/>
      <c r="AV32" s="75" t="n"/>
      <c r="AW32" s="75" t="n"/>
      <c r="AX32" s="75" t="n"/>
      <c r="AY32" s="75" t="n"/>
      <c r="AZ32" s="75" t="n"/>
      <c r="BA32" s="75" t="n"/>
      <c r="BB32" s="75" t="n"/>
      <c r="BC32" s="75" t="n"/>
      <c r="BD32" s="75" t="n"/>
      <c r="BE32" s="75" t="n"/>
      <c r="BF32" s="75" t="n"/>
      <c r="BG32" s="75" t="n"/>
      <c r="BH32" s="75" t="n"/>
      <c r="BI32" s="75" t="n"/>
      <c r="BJ32" s="75" t="n"/>
      <c r="BK32" s="75" t="n"/>
      <c r="BL32" s="75" t="n"/>
      <c r="BM32" s="75" t="n"/>
      <c r="BN32" s="75" t="n"/>
      <c r="BO32" s="75" t="n"/>
      <c r="BP32" s="75" t="n"/>
      <c r="BQ32" s="75" t="n"/>
      <c r="BR32" s="76" t="n"/>
    </row>
    <row r="33">
      <c r="A33" s="51" t="inlineStr">
        <is>
          <t>FCF = EBIT×(1−t) + D&amp;A − CAPEX − ΔNWC</t>
        </is>
      </c>
      <c r="B33" s="96" t="inlineStr">
        <is>
          <t>млн ₽</t>
        </is>
      </c>
      <c r="C33" s="67">
        <f>SUM(BN33:BR33)</f>
        <v/>
      </c>
      <c r="D33" s="45" t="inlineStr"/>
      <c r="E33" s="67">
        <f>'CAPEX &amp; D&amp;A'!E30*(1-Налоги!E15)+'CAPEX &amp; D&amp;A'!E29-'CAPEX &amp; D&amp;A'!E13-Баланс!E28</f>
        <v/>
      </c>
      <c r="F33" s="67">
        <f>'CAPEX &amp; D&amp;A'!F30*(1-Налоги!F15)+'CAPEX &amp; D&amp;A'!F29-'CAPEX &amp; D&amp;A'!F13-Баланс!F28</f>
        <v/>
      </c>
      <c r="G33" s="67">
        <f>'CAPEX &amp; D&amp;A'!G30*(1-Налоги!G15)+'CAPEX &amp; D&amp;A'!G29-'CAPEX &amp; D&amp;A'!G13-Баланс!G28</f>
        <v/>
      </c>
      <c r="H33" s="67">
        <f>'CAPEX &amp; D&amp;A'!H30*(1-Налоги!H15)+'CAPEX &amp; D&amp;A'!H29-'CAPEX &amp; D&amp;A'!H13-Баланс!H28</f>
        <v/>
      </c>
      <c r="I33" s="67">
        <f>'CAPEX &amp; D&amp;A'!I30*(1-Налоги!I15)+'CAPEX &amp; D&amp;A'!I29-'CAPEX &amp; D&amp;A'!I13-Баланс!I28</f>
        <v/>
      </c>
      <c r="J33" s="67">
        <f>'CAPEX &amp; D&amp;A'!J30*(1-Налоги!J15)+'CAPEX &amp; D&amp;A'!J29-'CAPEX &amp; D&amp;A'!J13-Баланс!J28</f>
        <v/>
      </c>
      <c r="K33" s="67">
        <f>'CAPEX &amp; D&amp;A'!K30*(1-Налоги!K15)+'CAPEX &amp; D&amp;A'!K29-'CAPEX &amp; D&amp;A'!K13-Баланс!K28</f>
        <v/>
      </c>
      <c r="L33" s="67">
        <f>'CAPEX &amp; D&amp;A'!L30*(1-Налоги!L15)+'CAPEX &amp; D&amp;A'!L29-'CAPEX &amp; D&amp;A'!L13-Баланс!L28</f>
        <v/>
      </c>
      <c r="M33" s="67">
        <f>'CAPEX &amp; D&amp;A'!M30*(1-Налоги!M15)+'CAPEX &amp; D&amp;A'!M29-'CAPEX &amp; D&amp;A'!M13-Баланс!M28</f>
        <v/>
      </c>
      <c r="N33" s="67">
        <f>'CAPEX &amp; D&amp;A'!N30*(1-Налоги!N15)+'CAPEX &amp; D&amp;A'!N29-'CAPEX &amp; D&amp;A'!N13-Баланс!N28</f>
        <v/>
      </c>
      <c r="O33" s="67">
        <f>'CAPEX &amp; D&amp;A'!O30*(1-Налоги!O15)+'CAPEX &amp; D&amp;A'!O29-'CAPEX &amp; D&amp;A'!O13-Баланс!O28</f>
        <v/>
      </c>
      <c r="P33" s="67">
        <f>'CAPEX &amp; D&amp;A'!P30*(1-Налоги!P15)+'CAPEX &amp; D&amp;A'!P29-'CAPEX &amp; D&amp;A'!P13-Баланс!P28</f>
        <v/>
      </c>
      <c r="Q33" s="67">
        <f>'CAPEX &amp; D&amp;A'!Q30*(1-Налоги!Q15)+'CAPEX &amp; D&amp;A'!Q29-'CAPEX &amp; D&amp;A'!Q13-Баланс!Q28</f>
        <v/>
      </c>
      <c r="R33" s="67">
        <f>'CAPEX &amp; D&amp;A'!R30*(1-Налоги!R15)+'CAPEX &amp; D&amp;A'!R29-'CAPEX &amp; D&amp;A'!R13-Баланс!R28</f>
        <v/>
      </c>
      <c r="S33" s="67">
        <f>'CAPEX &amp; D&amp;A'!S30*(1-Налоги!S15)+'CAPEX &amp; D&amp;A'!S29-'CAPEX &amp; D&amp;A'!S13-Баланс!S28</f>
        <v/>
      </c>
      <c r="T33" s="67">
        <f>'CAPEX &amp; D&amp;A'!T30*(1-Налоги!T15)+'CAPEX &amp; D&amp;A'!T29-'CAPEX &amp; D&amp;A'!T13-Баланс!T28</f>
        <v/>
      </c>
      <c r="U33" s="67">
        <f>'CAPEX &amp; D&amp;A'!U30*(1-Налоги!U15)+'CAPEX &amp; D&amp;A'!U29-'CAPEX &amp; D&amp;A'!U13-Баланс!U28</f>
        <v/>
      </c>
      <c r="V33" s="67">
        <f>'CAPEX &amp; D&amp;A'!V30*(1-Налоги!V15)+'CAPEX &amp; D&amp;A'!V29-'CAPEX &amp; D&amp;A'!V13-Баланс!V28</f>
        <v/>
      </c>
      <c r="W33" s="67">
        <f>'CAPEX &amp; D&amp;A'!W30*(1-Налоги!W15)+'CAPEX &amp; D&amp;A'!W29-'CAPEX &amp; D&amp;A'!W13-Баланс!W28</f>
        <v/>
      </c>
      <c r="X33" s="67">
        <f>'CAPEX &amp; D&amp;A'!X30*(1-Налоги!X15)+'CAPEX &amp; D&amp;A'!X29-'CAPEX &amp; D&amp;A'!X13-Баланс!X28</f>
        <v/>
      </c>
      <c r="Y33" s="67">
        <f>'CAPEX &amp; D&amp;A'!Y30*(1-Налоги!Y15)+'CAPEX &amp; D&amp;A'!Y29-'CAPEX &amp; D&amp;A'!Y13-Баланс!Y28</f>
        <v/>
      </c>
      <c r="Z33" s="67">
        <f>'CAPEX &amp; D&amp;A'!Z30*(1-Налоги!Z15)+'CAPEX &amp; D&amp;A'!Z29-'CAPEX &amp; D&amp;A'!Z13-Баланс!Z28</f>
        <v/>
      </c>
      <c r="AA33" s="67">
        <f>'CAPEX &amp; D&amp;A'!AA30*(1-Налоги!AA15)+'CAPEX &amp; D&amp;A'!AA29-'CAPEX &amp; D&amp;A'!AA13-Баланс!AA28</f>
        <v/>
      </c>
      <c r="AB33" s="67">
        <f>'CAPEX &amp; D&amp;A'!AB30*(1-Налоги!AB15)+'CAPEX &amp; D&amp;A'!AB29-'CAPEX &amp; D&amp;A'!AB13-Баланс!AB28</f>
        <v/>
      </c>
      <c r="AC33" s="67">
        <f>'CAPEX &amp; D&amp;A'!AC30*(1-Налоги!AC15)+'CAPEX &amp; D&amp;A'!AC29-'CAPEX &amp; D&amp;A'!AC13-Баланс!AC28</f>
        <v/>
      </c>
      <c r="AD33" s="67">
        <f>'CAPEX &amp; D&amp;A'!AD30*(1-Налоги!AD15)+'CAPEX &amp; D&amp;A'!AD29-'CAPEX &amp; D&amp;A'!AD13-Баланс!AD28</f>
        <v/>
      </c>
      <c r="AE33" s="67">
        <f>'CAPEX &amp; D&amp;A'!AE30*(1-Налоги!AE15)+'CAPEX &amp; D&amp;A'!AE29-'CAPEX &amp; D&amp;A'!AE13-Баланс!AE28</f>
        <v/>
      </c>
      <c r="AF33" s="67">
        <f>'CAPEX &amp; D&amp;A'!AF30*(1-Налоги!AF15)+'CAPEX &amp; D&amp;A'!AF29-'CAPEX &amp; D&amp;A'!AF13-Баланс!AF28</f>
        <v/>
      </c>
      <c r="AG33" s="67">
        <f>'CAPEX &amp; D&amp;A'!AG30*(1-Налоги!AG15)+'CAPEX &amp; D&amp;A'!AG29-'CAPEX &amp; D&amp;A'!AG13-Баланс!AG28</f>
        <v/>
      </c>
      <c r="AH33" s="67">
        <f>'CAPEX &amp; D&amp;A'!AH30*(1-Налоги!AH15)+'CAPEX &amp; D&amp;A'!AH29-'CAPEX &amp; D&amp;A'!AH13-Баланс!AH28</f>
        <v/>
      </c>
      <c r="AI33" s="67">
        <f>'CAPEX &amp; D&amp;A'!AI30*(1-Налоги!AI15)+'CAPEX &amp; D&amp;A'!AI29-'CAPEX &amp; D&amp;A'!AI13-Баланс!AI28</f>
        <v/>
      </c>
      <c r="AJ33" s="67">
        <f>'CAPEX &amp; D&amp;A'!AJ30*(1-Налоги!AJ15)+'CAPEX &amp; D&amp;A'!AJ29-'CAPEX &amp; D&amp;A'!AJ13-Баланс!AJ28</f>
        <v/>
      </c>
      <c r="AK33" s="67">
        <f>'CAPEX &amp; D&amp;A'!AK30*(1-Налоги!AK15)+'CAPEX &amp; D&amp;A'!AK29-'CAPEX &amp; D&amp;A'!AK13-Баланс!AK28</f>
        <v/>
      </c>
      <c r="AL33" s="67">
        <f>'CAPEX &amp; D&amp;A'!AL30*(1-Налоги!AL15)+'CAPEX &amp; D&amp;A'!AL29-'CAPEX &amp; D&amp;A'!AL13-Баланс!AL28</f>
        <v/>
      </c>
      <c r="AM33" s="67">
        <f>'CAPEX &amp; D&amp;A'!AM30*(1-Налоги!AM15)+'CAPEX &amp; D&amp;A'!AM29-'CAPEX &amp; D&amp;A'!AM13-Баланс!AM28</f>
        <v/>
      </c>
      <c r="AN33" s="67">
        <f>'CAPEX &amp; D&amp;A'!AN30*(1-Налоги!AN15)+'CAPEX &amp; D&amp;A'!AN29-'CAPEX &amp; D&amp;A'!AN13-Баланс!AN28</f>
        <v/>
      </c>
      <c r="AO33" s="67">
        <f>'CAPEX &amp; D&amp;A'!AO30*(1-Налоги!AO15)+'CAPEX &amp; D&amp;A'!AO29-'CAPEX &amp; D&amp;A'!AO13-Баланс!AO28</f>
        <v/>
      </c>
      <c r="AP33" s="67">
        <f>'CAPEX &amp; D&amp;A'!AP30*(1-Налоги!AP15)+'CAPEX &amp; D&amp;A'!AP29-'CAPEX &amp; D&amp;A'!AP13-Баланс!AP28</f>
        <v/>
      </c>
      <c r="AQ33" s="67">
        <f>'CAPEX &amp; D&amp;A'!AQ30*(1-Налоги!AQ15)+'CAPEX &amp; D&amp;A'!AQ29-'CAPEX &amp; D&amp;A'!AQ13-Баланс!AQ28</f>
        <v/>
      </c>
      <c r="AR33" s="67">
        <f>'CAPEX &amp; D&amp;A'!AR30*(1-Налоги!AR15)+'CAPEX &amp; D&amp;A'!AR29-'CAPEX &amp; D&amp;A'!AR13-Баланс!AR28</f>
        <v/>
      </c>
      <c r="AS33" s="67">
        <f>'CAPEX &amp; D&amp;A'!AS30*(1-Налоги!AS15)+'CAPEX &amp; D&amp;A'!AS29-'CAPEX &amp; D&amp;A'!AS13-Баланс!AS28</f>
        <v/>
      </c>
      <c r="AT33" s="67">
        <f>'CAPEX &amp; D&amp;A'!AT30*(1-Налоги!AT15)+'CAPEX &amp; D&amp;A'!AT29-'CAPEX &amp; D&amp;A'!AT13-Баланс!AT28</f>
        <v/>
      </c>
      <c r="AU33" s="67">
        <f>'CAPEX &amp; D&amp;A'!AU30*(1-Налоги!AU15)+'CAPEX &amp; D&amp;A'!AU29-'CAPEX &amp; D&amp;A'!AU13-Баланс!AU28</f>
        <v/>
      </c>
      <c r="AV33" s="67">
        <f>'CAPEX &amp; D&amp;A'!AV30*(1-Налоги!AV15)+'CAPEX &amp; D&amp;A'!AV29-'CAPEX &amp; D&amp;A'!AV13-Баланс!AV28</f>
        <v/>
      </c>
      <c r="AW33" s="67">
        <f>'CAPEX &amp; D&amp;A'!AW30*(1-Налоги!AW15)+'CAPEX &amp; D&amp;A'!AW29-'CAPEX &amp; D&amp;A'!AW13-Баланс!AW28</f>
        <v/>
      </c>
      <c r="AX33" s="67">
        <f>'CAPEX &amp; D&amp;A'!AX30*(1-Налоги!AX15)+'CAPEX &amp; D&amp;A'!AX29-'CAPEX &amp; D&amp;A'!AX13-Баланс!AX28</f>
        <v/>
      </c>
      <c r="AY33" s="67">
        <f>'CAPEX &amp; D&amp;A'!AY30*(1-Налоги!AY15)+'CAPEX &amp; D&amp;A'!AY29-'CAPEX &amp; D&amp;A'!AY13-Баланс!AY28</f>
        <v/>
      </c>
      <c r="AZ33" s="67">
        <f>'CAPEX &amp; D&amp;A'!AZ30*(1-Налоги!AZ15)+'CAPEX &amp; D&amp;A'!AZ29-'CAPEX &amp; D&amp;A'!AZ13-Баланс!AZ28</f>
        <v/>
      </c>
      <c r="BA33" s="67">
        <f>'CAPEX &amp; D&amp;A'!BA30*(1-Налоги!BA15)+'CAPEX &amp; D&amp;A'!BA29-'CAPEX &amp; D&amp;A'!BA13-Баланс!BA28</f>
        <v/>
      </c>
      <c r="BB33" s="67">
        <f>'CAPEX &amp; D&amp;A'!BB30*(1-Налоги!BB15)+'CAPEX &amp; D&amp;A'!BB29-'CAPEX &amp; D&amp;A'!BB13-Баланс!BB28</f>
        <v/>
      </c>
      <c r="BC33" s="67">
        <f>'CAPEX &amp; D&amp;A'!BC30*(1-Налоги!BC15)+'CAPEX &amp; D&amp;A'!BC29-'CAPEX &amp; D&amp;A'!BC13-Баланс!BC28</f>
        <v/>
      </c>
      <c r="BD33" s="67">
        <f>'CAPEX &amp; D&amp;A'!BD30*(1-Налоги!BD15)+'CAPEX &amp; D&amp;A'!BD29-'CAPEX &amp; D&amp;A'!BD13-Баланс!BD28</f>
        <v/>
      </c>
      <c r="BE33" s="67">
        <f>'CAPEX &amp; D&amp;A'!BE30*(1-Налоги!BE15)+'CAPEX &amp; D&amp;A'!BE29-'CAPEX &amp; D&amp;A'!BE13-Баланс!BE28</f>
        <v/>
      </c>
      <c r="BF33" s="67">
        <f>'CAPEX &amp; D&amp;A'!BF30*(1-Налоги!BF15)+'CAPEX &amp; D&amp;A'!BF29-'CAPEX &amp; D&amp;A'!BF13-Баланс!BF28</f>
        <v/>
      </c>
      <c r="BG33" s="67">
        <f>'CAPEX &amp; D&amp;A'!BG30*(1-Налоги!BG15)+'CAPEX &amp; D&amp;A'!BG29-'CAPEX &amp; D&amp;A'!BG13-Баланс!BG28</f>
        <v/>
      </c>
      <c r="BH33" s="67">
        <f>'CAPEX &amp; D&amp;A'!BH30*(1-Налоги!BH15)+'CAPEX &amp; D&amp;A'!BH29-'CAPEX &amp; D&amp;A'!BH13-Баланс!BH28</f>
        <v/>
      </c>
      <c r="BI33" s="67">
        <f>'CAPEX &amp; D&amp;A'!BI30*(1-Налоги!BI15)+'CAPEX &amp; D&amp;A'!BI29-'CAPEX &amp; D&amp;A'!BI13-Баланс!BI28</f>
        <v/>
      </c>
      <c r="BJ33" s="67">
        <f>'CAPEX &amp; D&amp;A'!BJ30*(1-Налоги!BJ15)+'CAPEX &amp; D&amp;A'!BJ29-'CAPEX &amp; D&amp;A'!BJ13-Баланс!BJ28</f>
        <v/>
      </c>
      <c r="BK33" s="67">
        <f>'CAPEX &amp; D&amp;A'!BK30*(1-Налоги!BK15)+'CAPEX &amp; D&amp;A'!BK29-'CAPEX &amp; D&amp;A'!BK13-Баланс!BK28</f>
        <v/>
      </c>
      <c r="BL33" s="67">
        <f>'CAPEX &amp; D&amp;A'!BL30*(1-Налоги!BL15)+'CAPEX &amp; D&amp;A'!BL29-'CAPEX &amp; D&amp;A'!BL13-Баланс!BL28</f>
        <v/>
      </c>
      <c r="BN33" s="67">
        <f>SUM(E33:P33)</f>
        <v/>
      </c>
      <c r="BO33" s="67">
        <f>SUM(Q33:AB33)</f>
        <v/>
      </c>
      <c r="BP33" s="67">
        <f>SUM(AC33:AN33)</f>
        <v/>
      </c>
      <c r="BQ33" s="67">
        <f>SUM(AO33:AZ33)</f>
        <v/>
      </c>
      <c r="BR33" s="67">
        <f>SUM(BA33:BL33)</f>
        <v/>
      </c>
    </row>
    <row r="34">
      <c r="A34" s="42" t="inlineStr">
        <is>
          <t xml:space="preserve">    Коэфф. дисконтир. = 1/(1+WACC)^(мес/12)</t>
        </is>
      </c>
      <c r="B34" s="43" t="inlineStr">
        <is>
          <t>x</t>
        </is>
      </c>
      <c r="C34" s="48" t="inlineStr">
        <is>
          <t>—</t>
        </is>
      </c>
      <c r="D34" s="45" t="inlineStr"/>
      <c r="E34" s="100">
        <f>1/(1+Input!E48)^((1)/12)</f>
        <v/>
      </c>
      <c r="F34" s="100">
        <f>1/(1+Input!E48)^((2)/12)</f>
        <v/>
      </c>
      <c r="G34" s="100">
        <f>1/(1+Input!E48)^((3)/12)</f>
        <v/>
      </c>
      <c r="H34" s="100">
        <f>1/(1+Input!E48)^((4)/12)</f>
        <v/>
      </c>
      <c r="I34" s="100">
        <f>1/(1+Input!E48)^((5)/12)</f>
        <v/>
      </c>
      <c r="J34" s="100">
        <f>1/(1+Input!E48)^((6)/12)</f>
        <v/>
      </c>
      <c r="K34" s="100">
        <f>1/(1+Input!E48)^((7)/12)</f>
        <v/>
      </c>
      <c r="L34" s="100">
        <f>1/(1+Input!E48)^((8)/12)</f>
        <v/>
      </c>
      <c r="M34" s="100">
        <f>1/(1+Input!E48)^((9)/12)</f>
        <v/>
      </c>
      <c r="N34" s="100">
        <f>1/(1+Input!E48)^((10)/12)</f>
        <v/>
      </c>
      <c r="O34" s="100">
        <f>1/(1+Input!E48)^((11)/12)</f>
        <v/>
      </c>
      <c r="P34" s="100">
        <f>1/(1+Input!E48)^((12)/12)</f>
        <v/>
      </c>
      <c r="Q34" s="100">
        <f>1/(1+Input!E48)^((13)/12)</f>
        <v/>
      </c>
      <c r="R34" s="100">
        <f>1/(1+Input!E48)^((14)/12)</f>
        <v/>
      </c>
      <c r="S34" s="100">
        <f>1/(1+Input!E48)^((15)/12)</f>
        <v/>
      </c>
      <c r="T34" s="100">
        <f>1/(1+Input!E48)^((16)/12)</f>
        <v/>
      </c>
      <c r="U34" s="100">
        <f>1/(1+Input!E48)^((17)/12)</f>
        <v/>
      </c>
      <c r="V34" s="100">
        <f>1/(1+Input!E48)^((18)/12)</f>
        <v/>
      </c>
      <c r="W34" s="100">
        <f>1/(1+Input!E48)^((19)/12)</f>
        <v/>
      </c>
      <c r="X34" s="100">
        <f>1/(1+Input!E48)^((20)/12)</f>
        <v/>
      </c>
      <c r="Y34" s="100">
        <f>1/(1+Input!E48)^((21)/12)</f>
        <v/>
      </c>
      <c r="Z34" s="100">
        <f>1/(1+Input!E48)^((22)/12)</f>
        <v/>
      </c>
      <c r="AA34" s="100">
        <f>1/(1+Input!E48)^((23)/12)</f>
        <v/>
      </c>
      <c r="AB34" s="100">
        <f>1/(1+Input!E48)^((24)/12)</f>
        <v/>
      </c>
      <c r="AC34" s="100">
        <f>1/(1+Input!E48)^((25)/12)</f>
        <v/>
      </c>
      <c r="AD34" s="100">
        <f>1/(1+Input!E48)^((26)/12)</f>
        <v/>
      </c>
      <c r="AE34" s="100">
        <f>1/(1+Input!E48)^((27)/12)</f>
        <v/>
      </c>
      <c r="AF34" s="100">
        <f>1/(1+Input!E48)^((28)/12)</f>
        <v/>
      </c>
      <c r="AG34" s="100">
        <f>1/(1+Input!E48)^((29)/12)</f>
        <v/>
      </c>
      <c r="AH34" s="100">
        <f>1/(1+Input!E48)^((30)/12)</f>
        <v/>
      </c>
      <c r="AI34" s="100">
        <f>1/(1+Input!E48)^((31)/12)</f>
        <v/>
      </c>
      <c r="AJ34" s="100">
        <f>1/(1+Input!E48)^((32)/12)</f>
        <v/>
      </c>
      <c r="AK34" s="100">
        <f>1/(1+Input!E48)^((33)/12)</f>
        <v/>
      </c>
      <c r="AL34" s="100">
        <f>1/(1+Input!E48)^((34)/12)</f>
        <v/>
      </c>
      <c r="AM34" s="100">
        <f>1/(1+Input!E48)^((35)/12)</f>
        <v/>
      </c>
      <c r="AN34" s="100">
        <f>1/(1+Input!E48)^((36)/12)</f>
        <v/>
      </c>
      <c r="AO34" s="100">
        <f>1/(1+Input!E48)^((37)/12)</f>
        <v/>
      </c>
      <c r="AP34" s="100">
        <f>1/(1+Input!E48)^((38)/12)</f>
        <v/>
      </c>
      <c r="AQ34" s="100">
        <f>1/(1+Input!E48)^((39)/12)</f>
        <v/>
      </c>
      <c r="AR34" s="100">
        <f>1/(1+Input!E48)^((40)/12)</f>
        <v/>
      </c>
      <c r="AS34" s="100">
        <f>1/(1+Input!E48)^((41)/12)</f>
        <v/>
      </c>
      <c r="AT34" s="100">
        <f>1/(1+Input!E48)^((42)/12)</f>
        <v/>
      </c>
      <c r="AU34" s="100">
        <f>1/(1+Input!E48)^((43)/12)</f>
        <v/>
      </c>
      <c r="AV34" s="100">
        <f>1/(1+Input!E48)^((44)/12)</f>
        <v/>
      </c>
      <c r="AW34" s="100">
        <f>1/(1+Input!E48)^((45)/12)</f>
        <v/>
      </c>
      <c r="AX34" s="100">
        <f>1/(1+Input!E48)^((46)/12)</f>
        <v/>
      </c>
      <c r="AY34" s="100">
        <f>1/(1+Input!E48)^((47)/12)</f>
        <v/>
      </c>
      <c r="AZ34" s="100">
        <f>1/(1+Input!E48)^((48)/12)</f>
        <v/>
      </c>
      <c r="BA34" s="100">
        <f>1/(1+Input!E48)^((49)/12)</f>
        <v/>
      </c>
      <c r="BB34" s="100">
        <f>1/(1+Input!E48)^((50)/12)</f>
        <v/>
      </c>
      <c r="BC34" s="100">
        <f>1/(1+Input!E48)^((51)/12)</f>
        <v/>
      </c>
      <c r="BD34" s="100">
        <f>1/(1+Input!E48)^((52)/12)</f>
        <v/>
      </c>
      <c r="BE34" s="100">
        <f>1/(1+Input!E48)^((53)/12)</f>
        <v/>
      </c>
      <c r="BF34" s="100">
        <f>1/(1+Input!E48)^((54)/12)</f>
        <v/>
      </c>
      <c r="BG34" s="100">
        <f>1/(1+Input!E48)^((55)/12)</f>
        <v/>
      </c>
      <c r="BH34" s="100">
        <f>1/(1+Input!E48)^((56)/12)</f>
        <v/>
      </c>
      <c r="BI34" s="100">
        <f>1/(1+Input!E48)^((57)/12)</f>
        <v/>
      </c>
      <c r="BJ34" s="100">
        <f>1/(1+Input!E48)^((58)/12)</f>
        <v/>
      </c>
      <c r="BK34" s="100">
        <f>1/(1+Input!E48)^((59)/12)</f>
        <v/>
      </c>
      <c r="BL34" s="100">
        <f>1/(1+Input!E48)^((60)/12)</f>
        <v/>
      </c>
    </row>
    <row r="35">
      <c r="A35" s="51" t="inlineStr">
        <is>
          <t>PV(FCF)</t>
        </is>
      </c>
      <c r="B35" s="96" t="inlineStr">
        <is>
          <t>млн ₽</t>
        </is>
      </c>
      <c r="C35" s="67">
        <f>SUM(BN35:BR35)</f>
        <v/>
      </c>
      <c r="D35" s="45" t="inlineStr"/>
      <c r="E35" s="67">
        <f>E33*E34</f>
        <v/>
      </c>
      <c r="F35" s="67">
        <f>F33*F34</f>
        <v/>
      </c>
      <c r="G35" s="67">
        <f>G33*G34</f>
        <v/>
      </c>
      <c r="H35" s="67">
        <f>H33*H34</f>
        <v/>
      </c>
      <c r="I35" s="67">
        <f>I33*I34</f>
        <v/>
      </c>
      <c r="J35" s="67">
        <f>J33*J34</f>
        <v/>
      </c>
      <c r="K35" s="67">
        <f>K33*K34</f>
        <v/>
      </c>
      <c r="L35" s="67">
        <f>L33*L34</f>
        <v/>
      </c>
      <c r="M35" s="67">
        <f>M33*M34</f>
        <v/>
      </c>
      <c r="N35" s="67">
        <f>N33*N34</f>
        <v/>
      </c>
      <c r="O35" s="67">
        <f>O33*O34</f>
        <v/>
      </c>
      <c r="P35" s="67">
        <f>P33*P34</f>
        <v/>
      </c>
      <c r="Q35" s="67">
        <f>Q33*Q34</f>
        <v/>
      </c>
      <c r="R35" s="67">
        <f>R33*R34</f>
        <v/>
      </c>
      <c r="S35" s="67">
        <f>S33*S34</f>
        <v/>
      </c>
      <c r="T35" s="67">
        <f>T33*T34</f>
        <v/>
      </c>
      <c r="U35" s="67">
        <f>U33*U34</f>
        <v/>
      </c>
      <c r="V35" s="67">
        <f>V33*V34</f>
        <v/>
      </c>
      <c r="W35" s="67">
        <f>W33*W34</f>
        <v/>
      </c>
      <c r="X35" s="67">
        <f>X33*X34</f>
        <v/>
      </c>
      <c r="Y35" s="67">
        <f>Y33*Y34</f>
        <v/>
      </c>
      <c r="Z35" s="67">
        <f>Z33*Z34</f>
        <v/>
      </c>
      <c r="AA35" s="67">
        <f>AA33*AA34</f>
        <v/>
      </c>
      <c r="AB35" s="67">
        <f>AB33*AB34</f>
        <v/>
      </c>
      <c r="AC35" s="67">
        <f>AC33*AC34</f>
        <v/>
      </c>
      <c r="AD35" s="67">
        <f>AD33*AD34</f>
        <v/>
      </c>
      <c r="AE35" s="67">
        <f>AE33*AE34</f>
        <v/>
      </c>
      <c r="AF35" s="67">
        <f>AF33*AF34</f>
        <v/>
      </c>
      <c r="AG35" s="67">
        <f>AG33*AG34</f>
        <v/>
      </c>
      <c r="AH35" s="67">
        <f>AH33*AH34</f>
        <v/>
      </c>
      <c r="AI35" s="67">
        <f>AI33*AI34</f>
        <v/>
      </c>
      <c r="AJ35" s="67">
        <f>AJ33*AJ34</f>
        <v/>
      </c>
      <c r="AK35" s="67">
        <f>AK33*AK34</f>
        <v/>
      </c>
      <c r="AL35" s="67">
        <f>AL33*AL34</f>
        <v/>
      </c>
      <c r="AM35" s="67">
        <f>AM33*AM34</f>
        <v/>
      </c>
      <c r="AN35" s="67">
        <f>AN33*AN34</f>
        <v/>
      </c>
      <c r="AO35" s="67">
        <f>AO33*AO34</f>
        <v/>
      </c>
      <c r="AP35" s="67">
        <f>AP33*AP34</f>
        <v/>
      </c>
      <c r="AQ35" s="67">
        <f>AQ33*AQ34</f>
        <v/>
      </c>
      <c r="AR35" s="67">
        <f>AR33*AR34</f>
        <v/>
      </c>
      <c r="AS35" s="67">
        <f>AS33*AS34</f>
        <v/>
      </c>
      <c r="AT35" s="67">
        <f>AT33*AT34</f>
        <v/>
      </c>
      <c r="AU35" s="67">
        <f>AU33*AU34</f>
        <v/>
      </c>
      <c r="AV35" s="67">
        <f>AV33*AV34</f>
        <v/>
      </c>
      <c r="AW35" s="67">
        <f>AW33*AW34</f>
        <v/>
      </c>
      <c r="AX35" s="67">
        <f>AX33*AX34</f>
        <v/>
      </c>
      <c r="AY35" s="67">
        <f>AY33*AY34</f>
        <v/>
      </c>
      <c r="AZ35" s="67">
        <f>AZ33*AZ34</f>
        <v/>
      </c>
      <c r="BA35" s="67">
        <f>BA33*BA34</f>
        <v/>
      </c>
      <c r="BB35" s="67">
        <f>BB33*BB34</f>
        <v/>
      </c>
      <c r="BC35" s="67">
        <f>BC33*BC34</f>
        <v/>
      </c>
      <c r="BD35" s="67">
        <f>BD33*BD34</f>
        <v/>
      </c>
      <c r="BE35" s="67">
        <f>BE33*BE34</f>
        <v/>
      </c>
      <c r="BF35" s="67">
        <f>BF33*BF34</f>
        <v/>
      </c>
      <c r="BG35" s="67">
        <f>BG33*BG34</f>
        <v/>
      </c>
      <c r="BH35" s="67">
        <f>BH33*BH34</f>
        <v/>
      </c>
      <c r="BI35" s="67">
        <f>BI33*BI34</f>
        <v/>
      </c>
      <c r="BJ35" s="67">
        <f>BJ33*BJ34</f>
        <v/>
      </c>
      <c r="BK35" s="67">
        <f>BK33*BK34</f>
        <v/>
      </c>
      <c r="BL35" s="67">
        <f>BL33*BL34</f>
        <v/>
      </c>
      <c r="BN35" s="67">
        <f>SUM(E35:P35)</f>
        <v/>
      </c>
      <c r="BO35" s="67">
        <f>SUM(Q35:AB35)</f>
        <v/>
      </c>
      <c r="BP35" s="67">
        <f>SUM(AC35:AN35)</f>
        <v/>
      </c>
      <c r="BQ35" s="67">
        <f>SUM(AO35:AZ35)</f>
        <v/>
      </c>
      <c r="BR35" s="67">
        <f>SUM(BA35:BL35)</f>
        <v/>
      </c>
    </row>
    <row r="36"/>
    <row r="37">
      <c r="A37" s="65" t="inlineStr">
        <is>
          <t>Σ PV(FCF) 60 мес</t>
        </is>
      </c>
      <c r="B37" s="43" t="inlineStr">
        <is>
          <t>млн ₽</t>
        </is>
      </c>
      <c r="C37" s="48" t="inlineStr">
        <is>
          <t>—</t>
        </is>
      </c>
      <c r="D37" s="45" t="inlineStr"/>
      <c r="E37" s="42" t="inlineStr"/>
      <c r="F37" s="42" t="inlineStr"/>
      <c r="G37" s="42" t="inlineStr"/>
      <c r="H37" s="42" t="inlineStr"/>
      <c r="I37" s="42" t="inlineStr"/>
      <c r="J37" s="42" t="inlineStr"/>
      <c r="K37" s="42" t="inlineStr"/>
      <c r="L37" s="42" t="inlineStr"/>
      <c r="M37" s="42" t="inlineStr"/>
      <c r="N37" s="42" t="inlineStr"/>
      <c r="O37" s="42" t="inlineStr"/>
      <c r="P37" s="42" t="inlineStr"/>
      <c r="Q37" s="42" t="inlineStr"/>
      <c r="R37" s="42" t="inlineStr"/>
      <c r="S37" s="42" t="inlineStr"/>
      <c r="T37" s="42" t="inlineStr"/>
      <c r="U37" s="42" t="inlineStr"/>
      <c r="V37" s="42" t="inlineStr"/>
      <c r="W37" s="42" t="inlineStr"/>
      <c r="X37" s="42" t="inlineStr"/>
      <c r="Y37" s="42" t="inlineStr"/>
      <c r="Z37" s="42" t="inlineStr"/>
      <c r="AA37" s="42" t="inlineStr"/>
      <c r="AB37" s="42" t="inlineStr"/>
      <c r="AC37" s="42" t="inlineStr"/>
      <c r="AD37" s="42" t="inlineStr"/>
      <c r="AE37" s="42" t="inlineStr"/>
      <c r="AF37" s="42" t="inlineStr"/>
      <c r="AG37" s="42" t="inlineStr"/>
      <c r="AH37" s="42" t="inlineStr"/>
      <c r="AI37" s="42" t="inlineStr"/>
      <c r="AJ37" s="42" t="inlineStr"/>
      <c r="AK37" s="42" t="inlineStr"/>
      <c r="AL37" s="42" t="inlineStr"/>
      <c r="AM37" s="42" t="inlineStr"/>
      <c r="AN37" s="42" t="inlineStr"/>
      <c r="AO37" s="42" t="inlineStr"/>
      <c r="AP37" s="42" t="inlineStr"/>
      <c r="AQ37" s="42" t="inlineStr"/>
      <c r="AR37" s="42" t="inlineStr"/>
      <c r="AS37" s="42" t="inlineStr"/>
      <c r="AT37" s="42" t="inlineStr"/>
      <c r="AU37" s="42" t="inlineStr"/>
      <c r="AV37" s="42" t="inlineStr"/>
      <c r="AW37" s="42" t="inlineStr"/>
      <c r="AX37" s="42" t="inlineStr"/>
      <c r="AY37" s="42" t="inlineStr"/>
      <c r="AZ37" s="42" t="inlineStr"/>
      <c r="BA37" s="42" t="inlineStr"/>
      <c r="BB37" s="42" t="inlineStr"/>
      <c r="BC37" s="42" t="inlineStr"/>
      <c r="BD37" s="42" t="inlineStr"/>
      <c r="BE37" s="42" t="inlineStr"/>
      <c r="BF37" s="42" t="inlineStr"/>
      <c r="BG37" s="42" t="inlineStr"/>
      <c r="BH37" s="42" t="inlineStr"/>
      <c r="BI37" s="42" t="inlineStr"/>
      <c r="BJ37" s="42" t="inlineStr"/>
      <c r="BK37" s="42" t="inlineStr"/>
      <c r="BL37" s="42" t="inlineStr"/>
      <c r="BN37" s="91">
        <f>SUM(E35:BL35)</f>
        <v/>
      </c>
      <c r="BO37" s="42" t="inlineStr"/>
      <c r="BP37" s="42" t="inlineStr"/>
      <c r="BQ37" s="42" t="inlineStr"/>
      <c r="BR37" s="42" t="inlineStr"/>
    </row>
    <row r="38">
      <c r="A38" s="65" t="inlineStr">
        <is>
          <t>Terminal Value (от FCF М49-М60)</t>
        </is>
      </c>
      <c r="B38" s="43" t="inlineStr">
        <is>
          <t>млн ₽</t>
        </is>
      </c>
      <c r="C38" s="48" t="inlineStr">
        <is>
          <t>—</t>
        </is>
      </c>
      <c r="D38" s="45" t="inlineStr"/>
      <c r="E38" s="42" t="inlineStr"/>
      <c r="F38" s="42" t="inlineStr"/>
      <c r="G38" s="42" t="inlineStr"/>
      <c r="H38" s="42" t="inlineStr"/>
      <c r="I38" s="42" t="inlineStr"/>
      <c r="J38" s="42" t="inlineStr"/>
      <c r="K38" s="42" t="inlineStr"/>
      <c r="L38" s="42" t="inlineStr"/>
      <c r="M38" s="42" t="inlineStr"/>
      <c r="N38" s="42" t="inlineStr"/>
      <c r="O38" s="42" t="inlineStr"/>
      <c r="P38" s="42" t="inlineStr"/>
      <c r="Q38" s="42" t="inlineStr"/>
      <c r="R38" s="42" t="inlineStr"/>
      <c r="S38" s="42" t="inlineStr"/>
      <c r="T38" s="42" t="inlineStr"/>
      <c r="U38" s="42" t="inlineStr"/>
      <c r="V38" s="42" t="inlineStr"/>
      <c r="W38" s="42" t="inlineStr"/>
      <c r="X38" s="42" t="inlineStr"/>
      <c r="Y38" s="42" t="inlineStr"/>
      <c r="Z38" s="42" t="inlineStr"/>
      <c r="AA38" s="42" t="inlineStr"/>
      <c r="AB38" s="42" t="inlineStr"/>
      <c r="AC38" s="42" t="inlineStr"/>
      <c r="AD38" s="42" t="inlineStr"/>
      <c r="AE38" s="42" t="inlineStr"/>
      <c r="AF38" s="42" t="inlineStr"/>
      <c r="AG38" s="42" t="inlineStr"/>
      <c r="AH38" s="42" t="inlineStr"/>
      <c r="AI38" s="42" t="inlineStr"/>
      <c r="AJ38" s="42" t="inlineStr"/>
      <c r="AK38" s="42" t="inlineStr"/>
      <c r="AL38" s="42" t="inlineStr"/>
      <c r="AM38" s="42" t="inlineStr"/>
      <c r="AN38" s="42" t="inlineStr"/>
      <c r="AO38" s="42" t="inlineStr"/>
      <c r="AP38" s="42" t="inlineStr"/>
      <c r="AQ38" s="42" t="inlineStr"/>
      <c r="AR38" s="42" t="inlineStr"/>
      <c r="AS38" s="42" t="inlineStr"/>
      <c r="AT38" s="42" t="inlineStr"/>
      <c r="AU38" s="42" t="inlineStr"/>
      <c r="AV38" s="42" t="inlineStr"/>
      <c r="AW38" s="42" t="inlineStr"/>
      <c r="AX38" s="42" t="inlineStr"/>
      <c r="AY38" s="42" t="inlineStr"/>
      <c r="AZ38" s="42" t="inlineStr"/>
      <c r="BA38" s="42" t="inlineStr"/>
      <c r="BB38" s="42" t="inlineStr"/>
      <c r="BC38" s="42" t="inlineStr"/>
      <c r="BD38" s="42" t="inlineStr"/>
      <c r="BE38" s="42" t="inlineStr"/>
      <c r="BF38" s="42" t="inlineStr"/>
      <c r="BG38" s="42" t="inlineStr"/>
      <c r="BH38" s="42" t="inlineStr"/>
      <c r="BI38" s="42" t="inlineStr"/>
      <c r="BJ38" s="42" t="inlineStr"/>
      <c r="BK38" s="42" t="inlineStr"/>
      <c r="BL38" s="42" t="inlineStr"/>
      <c r="BN38" s="91">
        <f>BR33*(1+Input!E49)/(Input!E48-Input!E49)</f>
        <v/>
      </c>
      <c r="BO38" s="42" t="inlineStr"/>
      <c r="BP38" s="42" t="inlineStr"/>
      <c r="BQ38" s="42" t="inlineStr"/>
      <c r="BR38" s="42" t="inlineStr"/>
    </row>
    <row r="39">
      <c r="A39" s="65" t="inlineStr">
        <is>
          <t>PV(Terminal Value)</t>
        </is>
      </c>
      <c r="B39" s="43" t="inlineStr">
        <is>
          <t>млн ₽</t>
        </is>
      </c>
      <c r="C39" s="48" t="inlineStr">
        <is>
          <t>—</t>
        </is>
      </c>
      <c r="D39" s="45" t="inlineStr"/>
      <c r="E39" s="42" t="inlineStr"/>
      <c r="F39" s="42" t="inlineStr"/>
      <c r="G39" s="42" t="inlineStr"/>
      <c r="H39" s="42" t="inlineStr"/>
      <c r="I39" s="42" t="inlineStr"/>
      <c r="J39" s="42" t="inlineStr"/>
      <c r="K39" s="42" t="inlineStr"/>
      <c r="L39" s="42" t="inlineStr"/>
      <c r="M39" s="42" t="inlineStr"/>
      <c r="N39" s="42" t="inlineStr"/>
      <c r="O39" s="42" t="inlineStr"/>
      <c r="P39" s="42" t="inlineStr"/>
      <c r="Q39" s="42" t="inlineStr"/>
      <c r="R39" s="42" t="inlineStr"/>
      <c r="S39" s="42" t="inlineStr"/>
      <c r="T39" s="42" t="inlineStr"/>
      <c r="U39" s="42" t="inlineStr"/>
      <c r="V39" s="42" t="inlineStr"/>
      <c r="W39" s="42" t="inlineStr"/>
      <c r="X39" s="42" t="inlineStr"/>
      <c r="Y39" s="42" t="inlineStr"/>
      <c r="Z39" s="42" t="inlineStr"/>
      <c r="AA39" s="42" t="inlineStr"/>
      <c r="AB39" s="42" t="inlineStr"/>
      <c r="AC39" s="42" t="inlineStr"/>
      <c r="AD39" s="42" t="inlineStr"/>
      <c r="AE39" s="42" t="inlineStr"/>
      <c r="AF39" s="42" t="inlineStr"/>
      <c r="AG39" s="42" t="inlineStr"/>
      <c r="AH39" s="42" t="inlineStr"/>
      <c r="AI39" s="42" t="inlineStr"/>
      <c r="AJ39" s="42" t="inlineStr"/>
      <c r="AK39" s="42" t="inlineStr"/>
      <c r="AL39" s="42" t="inlineStr"/>
      <c r="AM39" s="42" t="inlineStr"/>
      <c r="AN39" s="42" t="inlineStr"/>
      <c r="AO39" s="42" t="inlineStr"/>
      <c r="AP39" s="42" t="inlineStr"/>
      <c r="AQ39" s="42" t="inlineStr"/>
      <c r="AR39" s="42" t="inlineStr"/>
      <c r="AS39" s="42" t="inlineStr"/>
      <c r="AT39" s="42" t="inlineStr"/>
      <c r="AU39" s="42" t="inlineStr"/>
      <c r="AV39" s="42" t="inlineStr"/>
      <c r="AW39" s="42" t="inlineStr"/>
      <c r="AX39" s="42" t="inlineStr"/>
      <c r="AY39" s="42" t="inlineStr"/>
      <c r="AZ39" s="42" t="inlineStr"/>
      <c r="BA39" s="42" t="inlineStr"/>
      <c r="BB39" s="42" t="inlineStr"/>
      <c r="BC39" s="42" t="inlineStr"/>
      <c r="BD39" s="42" t="inlineStr"/>
      <c r="BE39" s="42" t="inlineStr"/>
      <c r="BF39" s="42" t="inlineStr"/>
      <c r="BG39" s="42" t="inlineStr"/>
      <c r="BH39" s="42" t="inlineStr"/>
      <c r="BI39" s="42" t="inlineStr"/>
      <c r="BJ39" s="42" t="inlineStr"/>
      <c r="BK39" s="42" t="inlineStr"/>
      <c r="BL39" s="42" t="inlineStr"/>
      <c r="BN39" s="91">
        <f>BN38*BL34</f>
        <v/>
      </c>
      <c r="BO39" s="42" t="inlineStr"/>
      <c r="BP39" s="42" t="inlineStr"/>
      <c r="BQ39" s="42" t="inlineStr"/>
      <c r="BR39" s="42" t="inlineStr"/>
    </row>
    <row r="40">
      <c r="A40" s="80" t="inlineStr">
        <is>
          <t>Enterprise Value = ΣPV + PV(TV) [unlevered]</t>
        </is>
      </c>
      <c r="B40" s="81" t="inlineStr">
        <is>
          <t>млн ₽</t>
        </is>
      </c>
      <c r="C40" s="48" t="inlineStr">
        <is>
          <t>—</t>
        </is>
      </c>
      <c r="D40" s="45" t="inlineStr"/>
      <c r="E40" s="93" t="inlineStr"/>
      <c r="F40" s="93" t="inlineStr"/>
      <c r="G40" s="93" t="inlineStr"/>
      <c r="H40" s="93" t="inlineStr"/>
      <c r="I40" s="93" t="inlineStr"/>
      <c r="J40" s="93" t="inlineStr"/>
      <c r="K40" s="93" t="inlineStr"/>
      <c r="L40" s="93" t="inlineStr"/>
      <c r="M40" s="93" t="inlineStr"/>
      <c r="N40" s="93" t="inlineStr"/>
      <c r="O40" s="93" t="inlineStr"/>
      <c r="P40" s="93" t="inlineStr"/>
      <c r="Q40" s="93" t="inlineStr"/>
      <c r="R40" s="93" t="inlineStr"/>
      <c r="S40" s="93" t="inlineStr"/>
      <c r="T40" s="93" t="inlineStr"/>
      <c r="U40" s="93" t="inlineStr"/>
      <c r="V40" s="93" t="inlineStr"/>
      <c r="W40" s="93" t="inlineStr"/>
      <c r="X40" s="93" t="inlineStr"/>
      <c r="Y40" s="93" t="inlineStr"/>
      <c r="Z40" s="93" t="inlineStr"/>
      <c r="AA40" s="93" t="inlineStr"/>
      <c r="AB40" s="93" t="inlineStr"/>
      <c r="AC40" s="93" t="inlineStr"/>
      <c r="AD40" s="93" t="inlineStr"/>
      <c r="AE40" s="93" t="inlineStr"/>
      <c r="AF40" s="93" t="inlineStr"/>
      <c r="AG40" s="93" t="inlineStr"/>
      <c r="AH40" s="93" t="inlineStr"/>
      <c r="AI40" s="93" t="inlineStr"/>
      <c r="AJ40" s="93" t="inlineStr"/>
      <c r="AK40" s="93" t="inlineStr"/>
      <c r="AL40" s="93" t="inlineStr"/>
      <c r="AM40" s="93" t="inlineStr"/>
      <c r="AN40" s="93" t="inlineStr"/>
      <c r="AO40" s="93" t="inlineStr"/>
      <c r="AP40" s="93" t="inlineStr"/>
      <c r="AQ40" s="93" t="inlineStr"/>
      <c r="AR40" s="93" t="inlineStr"/>
      <c r="AS40" s="93" t="inlineStr"/>
      <c r="AT40" s="93" t="inlineStr"/>
      <c r="AU40" s="93" t="inlineStr"/>
      <c r="AV40" s="93" t="inlineStr"/>
      <c r="AW40" s="93" t="inlineStr"/>
      <c r="AX40" s="93" t="inlineStr"/>
      <c r="AY40" s="93" t="inlineStr"/>
      <c r="AZ40" s="93" t="inlineStr"/>
      <c r="BA40" s="93" t="inlineStr"/>
      <c r="BB40" s="93" t="inlineStr"/>
      <c r="BC40" s="93" t="inlineStr"/>
      <c r="BD40" s="93" t="inlineStr"/>
      <c r="BE40" s="93" t="inlineStr"/>
      <c r="BF40" s="93" t="inlineStr"/>
      <c r="BG40" s="93" t="inlineStr"/>
      <c r="BH40" s="93" t="inlineStr"/>
      <c r="BI40" s="93" t="inlineStr"/>
      <c r="BJ40" s="93" t="inlineStr"/>
      <c r="BK40" s="93" t="inlineStr"/>
      <c r="BL40" s="93" t="inlineStr"/>
      <c r="BN40" s="82">
        <f>BN37+BN39</f>
        <v/>
      </c>
      <c r="BO40" s="93" t="inlineStr"/>
      <c r="BP40" s="93" t="inlineStr"/>
      <c r="BQ40" s="93" t="inlineStr"/>
      <c r="BR40" s="93" t="inlineStr"/>
    </row>
    <row r="41">
      <c r="A41" s="65" t="inlineStr">
        <is>
          <t>− PV стоимости фондирования разрыва (проценты revolver × (1−t))</t>
        </is>
      </c>
      <c r="B41" s="43" t="inlineStr">
        <is>
          <t>млн ₽</t>
        </is>
      </c>
      <c r="C41" s="48" t="inlineStr">
        <is>
          <t>—</t>
        </is>
      </c>
      <c r="D41" s="45" t="inlineStr"/>
      <c r="E41" s="42" t="inlineStr"/>
      <c r="F41" s="42" t="inlineStr"/>
      <c r="G41" s="42" t="inlineStr"/>
      <c r="H41" s="42" t="inlineStr"/>
      <c r="I41" s="42" t="inlineStr"/>
      <c r="J41" s="42" t="inlineStr"/>
      <c r="K41" s="42" t="inlineStr"/>
      <c r="L41" s="42" t="inlineStr"/>
      <c r="M41" s="42" t="inlineStr"/>
      <c r="N41" s="42" t="inlineStr"/>
      <c r="O41" s="42" t="inlineStr"/>
      <c r="P41" s="42" t="inlineStr"/>
      <c r="Q41" s="42" t="inlineStr"/>
      <c r="R41" s="42" t="inlineStr"/>
      <c r="S41" s="42" t="inlineStr"/>
      <c r="T41" s="42" t="inlineStr"/>
      <c r="U41" s="42" t="inlineStr"/>
      <c r="V41" s="42" t="inlineStr"/>
      <c r="W41" s="42" t="inlineStr"/>
      <c r="X41" s="42" t="inlineStr"/>
      <c r="Y41" s="42" t="inlineStr"/>
      <c r="Z41" s="42" t="inlineStr"/>
      <c r="AA41" s="42" t="inlineStr"/>
      <c r="AB41" s="42" t="inlineStr"/>
      <c r="AC41" s="42" t="inlineStr"/>
      <c r="AD41" s="42" t="inlineStr"/>
      <c r="AE41" s="42" t="inlineStr"/>
      <c r="AF41" s="42" t="inlineStr"/>
      <c r="AG41" s="42" t="inlineStr"/>
      <c r="AH41" s="42" t="inlineStr"/>
      <c r="AI41" s="42" t="inlineStr"/>
      <c r="AJ41" s="42" t="inlineStr"/>
      <c r="AK41" s="42" t="inlineStr"/>
      <c r="AL41" s="42" t="inlineStr"/>
      <c r="AM41" s="42" t="inlineStr"/>
      <c r="AN41" s="42" t="inlineStr"/>
      <c r="AO41" s="42" t="inlineStr"/>
      <c r="AP41" s="42" t="inlineStr"/>
      <c r="AQ41" s="42" t="inlineStr"/>
      <c r="AR41" s="42" t="inlineStr"/>
      <c r="AS41" s="42" t="inlineStr"/>
      <c r="AT41" s="42" t="inlineStr"/>
      <c r="AU41" s="42" t="inlineStr"/>
      <c r="AV41" s="42" t="inlineStr"/>
      <c r="AW41" s="42" t="inlineStr"/>
      <c r="AX41" s="42" t="inlineStr"/>
      <c r="AY41" s="42" t="inlineStr"/>
      <c r="AZ41" s="42" t="inlineStr"/>
      <c r="BA41" s="42" t="inlineStr"/>
      <c r="BB41" s="42" t="inlineStr"/>
      <c r="BC41" s="42" t="inlineStr"/>
      <c r="BD41" s="42" t="inlineStr"/>
      <c r="BE41" s="42" t="inlineStr"/>
      <c r="BF41" s="42" t="inlineStr"/>
      <c r="BG41" s="42" t="inlineStr"/>
      <c r="BH41" s="42" t="inlineStr"/>
      <c r="BI41" s="42" t="inlineStr"/>
      <c r="BJ41" s="42" t="inlineStr"/>
      <c r="BK41" s="42" t="inlineStr"/>
      <c r="BL41" s="42" t="inlineStr"/>
      <c r="BN41" s="91">
        <f>SUMPRODUCT('Долговое финансирование'!E25:BL25*(1-Налоги!E15:BL15)*E34:BL34)</f>
        <v/>
      </c>
      <c r="BO41" s="42" t="inlineStr"/>
      <c r="BP41" s="42" t="inlineStr"/>
      <c r="BQ41" s="42" t="inlineStr"/>
      <c r="BR41" s="42" t="inlineStr"/>
    </row>
    <row r="42">
      <c r="A42" s="80" t="inlineStr">
        <is>
          <t xml:space="preserve"> = EV с учётом стоимости фондирования</t>
        </is>
      </c>
      <c r="B42" s="81" t="inlineStr">
        <is>
          <t>млн ₽</t>
        </is>
      </c>
      <c r="C42" s="48" t="inlineStr">
        <is>
          <t>—</t>
        </is>
      </c>
      <c r="D42" s="45" t="inlineStr"/>
      <c r="E42" s="93" t="inlineStr"/>
      <c r="F42" s="93" t="inlineStr"/>
      <c r="G42" s="93" t="inlineStr"/>
      <c r="H42" s="93" t="inlineStr"/>
      <c r="I42" s="93" t="inlineStr"/>
      <c r="J42" s="93" t="inlineStr"/>
      <c r="K42" s="93" t="inlineStr"/>
      <c r="L42" s="93" t="inlineStr"/>
      <c r="M42" s="93" t="inlineStr"/>
      <c r="N42" s="93" t="inlineStr"/>
      <c r="O42" s="93" t="inlineStr"/>
      <c r="P42" s="93" t="inlineStr"/>
      <c r="Q42" s="93" t="inlineStr"/>
      <c r="R42" s="93" t="inlineStr"/>
      <c r="S42" s="93" t="inlineStr"/>
      <c r="T42" s="93" t="inlineStr"/>
      <c r="U42" s="93" t="inlineStr"/>
      <c r="V42" s="93" t="inlineStr"/>
      <c r="W42" s="93" t="inlineStr"/>
      <c r="X42" s="93" t="inlineStr"/>
      <c r="Y42" s="93" t="inlineStr"/>
      <c r="Z42" s="93" t="inlineStr"/>
      <c r="AA42" s="93" t="inlineStr"/>
      <c r="AB42" s="93" t="inlineStr"/>
      <c r="AC42" s="93" t="inlineStr"/>
      <c r="AD42" s="93" t="inlineStr"/>
      <c r="AE42" s="93" t="inlineStr"/>
      <c r="AF42" s="93" t="inlineStr"/>
      <c r="AG42" s="93" t="inlineStr"/>
      <c r="AH42" s="93" t="inlineStr"/>
      <c r="AI42" s="93" t="inlineStr"/>
      <c r="AJ42" s="93" t="inlineStr"/>
      <c r="AK42" s="93" t="inlineStr"/>
      <c r="AL42" s="93" t="inlineStr"/>
      <c r="AM42" s="93" t="inlineStr"/>
      <c r="AN42" s="93" t="inlineStr"/>
      <c r="AO42" s="93" t="inlineStr"/>
      <c r="AP42" s="93" t="inlineStr"/>
      <c r="AQ42" s="93" t="inlineStr"/>
      <c r="AR42" s="93" t="inlineStr"/>
      <c r="AS42" s="93" t="inlineStr"/>
      <c r="AT42" s="93" t="inlineStr"/>
      <c r="AU42" s="93" t="inlineStr"/>
      <c r="AV42" s="93" t="inlineStr"/>
      <c r="AW42" s="93" t="inlineStr"/>
      <c r="AX42" s="93" t="inlineStr"/>
      <c r="AY42" s="93" t="inlineStr"/>
      <c r="AZ42" s="93" t="inlineStr"/>
      <c r="BA42" s="93" t="inlineStr"/>
      <c r="BB42" s="93" t="inlineStr"/>
      <c r="BC42" s="93" t="inlineStr"/>
      <c r="BD42" s="93" t="inlineStr"/>
      <c r="BE42" s="93" t="inlineStr"/>
      <c r="BF42" s="93" t="inlineStr"/>
      <c r="BG42" s="93" t="inlineStr"/>
      <c r="BH42" s="93" t="inlineStr"/>
      <c r="BI42" s="93" t="inlineStr"/>
      <c r="BJ42" s="93" t="inlineStr"/>
      <c r="BK42" s="93" t="inlineStr"/>
      <c r="BL42" s="93" t="inlineStr"/>
      <c r="BN42" s="82">
        <f>BN40-BN41</f>
        <v/>
      </c>
      <c r="BO42" s="93" t="inlineStr"/>
      <c r="BP42" s="93" t="inlineStr"/>
      <c r="BQ42" s="93" t="inlineStr"/>
      <c r="BR42" s="93" t="inlineStr"/>
    </row>
    <row r="43">
      <c r="A43" s="65" t="inlineStr">
        <is>
          <t>− Net Debt (Долг Г0 − Cash Г0)</t>
        </is>
      </c>
      <c r="B43" s="43" t="inlineStr">
        <is>
          <t>млн ₽</t>
        </is>
      </c>
      <c r="C43" s="48" t="inlineStr">
        <is>
          <t>—</t>
        </is>
      </c>
      <c r="D43" s="45" t="inlineStr"/>
      <c r="E43" s="42" t="inlineStr"/>
      <c r="F43" s="42" t="inlineStr"/>
      <c r="G43" s="42" t="inlineStr"/>
      <c r="H43" s="42" t="inlineStr"/>
      <c r="I43" s="42" t="inlineStr"/>
      <c r="J43" s="42" t="inlineStr"/>
      <c r="K43" s="42" t="inlineStr"/>
      <c r="L43" s="42" t="inlineStr"/>
      <c r="M43" s="42" t="inlineStr"/>
      <c r="N43" s="42" t="inlineStr"/>
      <c r="O43" s="42" t="inlineStr"/>
      <c r="P43" s="42" t="inlineStr"/>
      <c r="Q43" s="42" t="inlineStr"/>
      <c r="R43" s="42" t="inlineStr"/>
      <c r="S43" s="42" t="inlineStr"/>
      <c r="T43" s="42" t="inlineStr"/>
      <c r="U43" s="42" t="inlineStr"/>
      <c r="V43" s="42" t="inlineStr"/>
      <c r="W43" s="42" t="inlineStr"/>
      <c r="X43" s="42" t="inlineStr"/>
      <c r="Y43" s="42" t="inlineStr"/>
      <c r="Z43" s="42" t="inlineStr"/>
      <c r="AA43" s="42" t="inlineStr"/>
      <c r="AB43" s="42" t="inlineStr"/>
      <c r="AC43" s="42" t="inlineStr"/>
      <c r="AD43" s="42" t="inlineStr"/>
      <c r="AE43" s="42" t="inlineStr"/>
      <c r="AF43" s="42" t="inlineStr"/>
      <c r="AG43" s="42" t="inlineStr"/>
      <c r="AH43" s="42" t="inlineStr"/>
      <c r="AI43" s="42" t="inlineStr"/>
      <c r="AJ43" s="42" t="inlineStr"/>
      <c r="AK43" s="42" t="inlineStr"/>
      <c r="AL43" s="42" t="inlineStr"/>
      <c r="AM43" s="42" t="inlineStr"/>
      <c r="AN43" s="42" t="inlineStr"/>
      <c r="AO43" s="42" t="inlineStr"/>
      <c r="AP43" s="42" t="inlineStr"/>
      <c r="AQ43" s="42" t="inlineStr"/>
      <c r="AR43" s="42" t="inlineStr"/>
      <c r="AS43" s="42" t="inlineStr"/>
      <c r="AT43" s="42" t="inlineStr"/>
      <c r="AU43" s="42" t="inlineStr"/>
      <c r="AV43" s="42" t="inlineStr"/>
      <c r="AW43" s="42" t="inlineStr"/>
      <c r="AX43" s="42" t="inlineStr"/>
      <c r="AY43" s="42" t="inlineStr"/>
      <c r="AZ43" s="42" t="inlineStr"/>
      <c r="BA43" s="42" t="inlineStr"/>
      <c r="BB43" s="42" t="inlineStr"/>
      <c r="BC43" s="42" t="inlineStr"/>
      <c r="BD43" s="42" t="inlineStr"/>
      <c r="BE43" s="42" t="inlineStr"/>
      <c r="BF43" s="42" t="inlineStr"/>
      <c r="BG43" s="42" t="inlineStr"/>
      <c r="BH43" s="42" t="inlineStr"/>
      <c r="BI43" s="42" t="inlineStr"/>
      <c r="BJ43" s="42" t="inlineStr"/>
      <c r="BK43" s="42" t="inlineStr"/>
      <c r="BL43" s="42" t="inlineStr"/>
      <c r="BN43" s="91">
        <f>'Долговое финансирование'!E10-E24</f>
        <v/>
      </c>
      <c r="BO43" s="42" t="inlineStr"/>
      <c r="BP43" s="42" t="inlineStr"/>
      <c r="BQ43" s="42" t="inlineStr"/>
      <c r="BR43" s="42" t="inlineStr"/>
    </row>
    <row r="44">
      <c r="A44" s="80" t="inlineStr">
        <is>
          <t xml:space="preserve"> = Equity Value</t>
        </is>
      </c>
      <c r="B44" s="81" t="inlineStr">
        <is>
          <t>млн ₽</t>
        </is>
      </c>
      <c r="C44" s="48" t="inlineStr">
        <is>
          <t>—</t>
        </is>
      </c>
      <c r="D44" s="45" t="inlineStr"/>
      <c r="E44" s="93" t="inlineStr"/>
      <c r="F44" s="93" t="inlineStr"/>
      <c r="G44" s="93" t="inlineStr"/>
      <c r="H44" s="93" t="inlineStr"/>
      <c r="I44" s="93" t="inlineStr"/>
      <c r="J44" s="93" t="inlineStr"/>
      <c r="K44" s="93" t="inlineStr"/>
      <c r="L44" s="93" t="inlineStr"/>
      <c r="M44" s="93" t="inlineStr"/>
      <c r="N44" s="93" t="inlineStr"/>
      <c r="O44" s="93" t="inlineStr"/>
      <c r="P44" s="93" t="inlineStr"/>
      <c r="Q44" s="93" t="inlineStr"/>
      <c r="R44" s="93" t="inlineStr"/>
      <c r="S44" s="93" t="inlineStr"/>
      <c r="T44" s="93" t="inlineStr"/>
      <c r="U44" s="93" t="inlineStr"/>
      <c r="V44" s="93" t="inlineStr"/>
      <c r="W44" s="93" t="inlineStr"/>
      <c r="X44" s="93" t="inlineStr"/>
      <c r="Y44" s="93" t="inlineStr"/>
      <c r="Z44" s="93" t="inlineStr"/>
      <c r="AA44" s="93" t="inlineStr"/>
      <c r="AB44" s="93" t="inlineStr"/>
      <c r="AC44" s="93" t="inlineStr"/>
      <c r="AD44" s="93" t="inlineStr"/>
      <c r="AE44" s="93" t="inlineStr"/>
      <c r="AF44" s="93" t="inlineStr"/>
      <c r="AG44" s="93" t="inlineStr"/>
      <c r="AH44" s="93" t="inlineStr"/>
      <c r="AI44" s="93" t="inlineStr"/>
      <c r="AJ44" s="93" t="inlineStr"/>
      <c r="AK44" s="93" t="inlineStr"/>
      <c r="AL44" s="93" t="inlineStr"/>
      <c r="AM44" s="93" t="inlineStr"/>
      <c r="AN44" s="93" t="inlineStr"/>
      <c r="AO44" s="93" t="inlineStr"/>
      <c r="AP44" s="93" t="inlineStr"/>
      <c r="AQ44" s="93" t="inlineStr"/>
      <c r="AR44" s="93" t="inlineStr"/>
      <c r="AS44" s="93" t="inlineStr"/>
      <c r="AT44" s="93" t="inlineStr"/>
      <c r="AU44" s="93" t="inlineStr"/>
      <c r="AV44" s="93" t="inlineStr"/>
      <c r="AW44" s="93" t="inlineStr"/>
      <c r="AX44" s="93" t="inlineStr"/>
      <c r="AY44" s="93" t="inlineStr"/>
      <c r="AZ44" s="93" t="inlineStr"/>
      <c r="BA44" s="93" t="inlineStr"/>
      <c r="BB44" s="93" t="inlineStr"/>
      <c r="BC44" s="93" t="inlineStr"/>
      <c r="BD44" s="93" t="inlineStr"/>
      <c r="BE44" s="93" t="inlineStr"/>
      <c r="BF44" s="93" t="inlineStr"/>
      <c r="BG44" s="93" t="inlineStr"/>
      <c r="BH44" s="93" t="inlineStr"/>
      <c r="BI44" s="93" t="inlineStr"/>
      <c r="BJ44" s="93" t="inlineStr"/>
      <c r="BK44" s="93" t="inlineStr"/>
      <c r="BL44" s="93" t="inlineStr"/>
      <c r="BN44" s="82">
        <f>BN42-BN43</f>
        <v/>
      </c>
      <c r="BO44" s="93" t="inlineStr"/>
      <c r="BP44" s="93" t="inlineStr"/>
      <c r="BQ44" s="93" t="inlineStr"/>
      <c r="BR44" s="93" t="inlineStr"/>
    </row>
    <row r="45"/>
    <row r="46" ht="22" customHeight="1">
      <c r="A46" s="62" t="inlineStr">
        <is>
          <t xml:space="preserve">  SENSITIVITY: EV (unlevered) ПРИ ВАРИАЦИЯХ WACC × g</t>
        </is>
      </c>
    </row>
    <row r="47">
      <c r="A47" s="101" t="inlineStr">
        <is>
          <t>WACC \ g (центр — из макро-блока)</t>
        </is>
      </c>
      <c r="B47" s="102" t="inlineStr">
        <is>
          <t>млн ₽</t>
        </is>
      </c>
      <c r="C47" s="48" t="inlineStr">
        <is>
          <t>—</t>
        </is>
      </c>
      <c r="D47" s="45" t="inlineStr"/>
      <c r="E47" s="103">
        <f>Input!$E$49+-0.02</f>
        <v/>
      </c>
      <c r="F47" s="103">
        <f>Input!$E$49+-0.01</f>
        <v/>
      </c>
      <c r="G47" s="103">
        <f>Input!$E$49</f>
        <v/>
      </c>
      <c r="H47" s="103">
        <f>Input!$E$49+0.01</f>
        <v/>
      </c>
      <c r="I47" s="103">
        <f>Input!$E$49+0.02</f>
        <v/>
      </c>
      <c r="O47" s="45" t="inlineStr"/>
      <c r="P47" s="45" t="inlineStr"/>
    </row>
    <row r="48">
      <c r="C48" s="48" t="inlineStr">
        <is>
          <t>—</t>
        </is>
      </c>
      <c r="D48" s="103">
        <f>Input!$E$48+-0.04</f>
        <v/>
      </c>
      <c r="E48" s="53">
        <f>IF($D$48&lt;=E$47,"н/п",SUMPRODUCT($E$33:$BL$33/POWER(1+$D$48,(COLUMN($E$33:$BL$33)-4)/12))+($BR$33*(1+E$47)/($D$48-E$47))/POWER(1+$D$48,5))</f>
        <v/>
      </c>
      <c r="F48" s="53">
        <f>IF($D$48&lt;=F$47,"н/п",SUMPRODUCT($E$33:$BL$33/POWER(1+$D$48,(COLUMN($E$33:$BL$33)-4)/12))+($BR$33*(1+F$47)/($D$48-F$47))/POWER(1+$D$48,5))</f>
        <v/>
      </c>
      <c r="G48" s="53">
        <f>IF($D$48&lt;=G$47,"н/п",SUMPRODUCT($E$33:$BL$33/POWER(1+$D$48,(COLUMN($E$33:$BL$33)-4)/12))+($BR$33*(1+G$47)/($D$48-G$47))/POWER(1+$D$48,5))</f>
        <v/>
      </c>
      <c r="H48" s="53">
        <f>IF($D$48&lt;=H$47,"н/п",SUMPRODUCT($E$33:$BL$33/POWER(1+$D$48,(COLUMN($E$33:$BL$33)-4)/12))+($BR$33*(1+H$47)/($D$48-H$47))/POWER(1+$D$48,5))</f>
        <v/>
      </c>
      <c r="I48" s="53">
        <f>IF($D$48&lt;=I$47,"н/п",SUMPRODUCT($E$33:$BL$33/POWER(1+$D$48,(COLUMN($E$33:$BL$33)-4)/12))+($BR$33*(1+I$47)/($D$48-I$47))/POWER(1+$D$48,5))</f>
        <v/>
      </c>
    </row>
    <row r="49">
      <c r="C49" s="48" t="inlineStr">
        <is>
          <t>—</t>
        </is>
      </c>
      <c r="D49" s="103">
        <f>Input!$E$48+-0.02</f>
        <v/>
      </c>
      <c r="E49" s="53">
        <f>IF($D$49&lt;=E$47,"н/п",SUMPRODUCT($E$33:$BL$33/POWER(1+$D$49,(COLUMN($E$33:$BL$33)-4)/12))+($BR$33*(1+E$47)/($D$49-E$47))/POWER(1+$D$49,5))</f>
        <v/>
      </c>
      <c r="F49" s="53">
        <f>IF($D$49&lt;=F$47,"н/п",SUMPRODUCT($E$33:$BL$33/POWER(1+$D$49,(COLUMN($E$33:$BL$33)-4)/12))+($BR$33*(1+F$47)/($D$49-F$47))/POWER(1+$D$49,5))</f>
        <v/>
      </c>
      <c r="G49" s="53">
        <f>IF($D$49&lt;=G$47,"н/п",SUMPRODUCT($E$33:$BL$33/POWER(1+$D$49,(COLUMN($E$33:$BL$33)-4)/12))+($BR$33*(1+G$47)/($D$49-G$47))/POWER(1+$D$49,5))</f>
        <v/>
      </c>
      <c r="H49" s="53">
        <f>IF($D$49&lt;=H$47,"н/п",SUMPRODUCT($E$33:$BL$33/POWER(1+$D$49,(COLUMN($E$33:$BL$33)-4)/12))+($BR$33*(1+H$47)/($D$49-H$47))/POWER(1+$D$49,5))</f>
        <v/>
      </c>
      <c r="I49" s="53">
        <f>IF($D$49&lt;=I$47,"н/п",SUMPRODUCT($E$33:$BL$33/POWER(1+$D$49,(COLUMN($E$33:$BL$33)-4)/12))+($BR$33*(1+I$47)/($D$49-I$47))/POWER(1+$D$49,5))</f>
        <v/>
      </c>
    </row>
    <row r="50">
      <c r="C50" s="48" t="inlineStr">
        <is>
          <t>—</t>
        </is>
      </c>
      <c r="D50" s="103">
        <f>Input!$E$48</f>
        <v/>
      </c>
      <c r="E50" s="53">
        <f>IF($D$50&lt;=E$47,"н/п",SUMPRODUCT($E$33:$BL$33/POWER(1+$D$50,(COLUMN($E$33:$BL$33)-4)/12))+($BR$33*(1+E$47)/($D$50-E$47))/POWER(1+$D$50,5))</f>
        <v/>
      </c>
      <c r="F50" s="53">
        <f>IF($D$50&lt;=F$47,"н/п",SUMPRODUCT($E$33:$BL$33/POWER(1+$D$50,(COLUMN($E$33:$BL$33)-4)/12))+($BR$33*(1+F$47)/($D$50-F$47))/POWER(1+$D$50,5))</f>
        <v/>
      </c>
      <c r="G50" s="53">
        <f>IF($D$50&lt;=G$47,"н/п",SUMPRODUCT($E$33:$BL$33/POWER(1+$D$50,(COLUMN($E$33:$BL$33)-4)/12))+($BR$33*(1+G$47)/($D$50-G$47))/POWER(1+$D$50,5))</f>
        <v/>
      </c>
      <c r="H50" s="53">
        <f>IF($D$50&lt;=H$47,"н/п",SUMPRODUCT($E$33:$BL$33/POWER(1+$D$50,(COLUMN($E$33:$BL$33)-4)/12))+($BR$33*(1+H$47)/($D$50-H$47))/POWER(1+$D$50,5))</f>
        <v/>
      </c>
      <c r="I50" s="53">
        <f>IF($D$50&lt;=I$47,"н/п",SUMPRODUCT($E$33:$BL$33/POWER(1+$D$50,(COLUMN($E$33:$BL$33)-4)/12))+($BR$33*(1+I$47)/($D$50-I$47))/POWER(1+$D$50,5))</f>
        <v/>
      </c>
    </row>
    <row r="51">
      <c r="C51" s="48" t="inlineStr">
        <is>
          <t>—</t>
        </is>
      </c>
      <c r="D51" s="103">
        <f>Input!$E$48+0.02</f>
        <v/>
      </c>
      <c r="E51" s="53">
        <f>IF($D$51&lt;=E$47,"н/п",SUMPRODUCT($E$33:$BL$33/POWER(1+$D$51,(COLUMN($E$33:$BL$33)-4)/12))+($BR$33*(1+E$47)/($D$51-E$47))/POWER(1+$D$51,5))</f>
        <v/>
      </c>
      <c r="F51" s="53">
        <f>IF($D$51&lt;=F$47,"н/п",SUMPRODUCT($E$33:$BL$33/POWER(1+$D$51,(COLUMN($E$33:$BL$33)-4)/12))+($BR$33*(1+F$47)/($D$51-F$47))/POWER(1+$D$51,5))</f>
        <v/>
      </c>
      <c r="G51" s="53">
        <f>IF($D$51&lt;=G$47,"н/п",SUMPRODUCT($E$33:$BL$33/POWER(1+$D$51,(COLUMN($E$33:$BL$33)-4)/12))+($BR$33*(1+G$47)/($D$51-G$47))/POWER(1+$D$51,5))</f>
        <v/>
      </c>
      <c r="H51" s="53">
        <f>IF($D$51&lt;=H$47,"н/п",SUMPRODUCT($E$33:$BL$33/POWER(1+$D$51,(COLUMN($E$33:$BL$33)-4)/12))+($BR$33*(1+H$47)/($D$51-H$47))/POWER(1+$D$51,5))</f>
        <v/>
      </c>
      <c r="I51" s="53">
        <f>IF($D$51&lt;=I$47,"н/п",SUMPRODUCT($E$33:$BL$33/POWER(1+$D$51,(COLUMN($E$33:$BL$33)-4)/12))+($BR$33*(1+I$47)/($D$51-I$47))/POWER(1+$D$51,5))</f>
        <v/>
      </c>
    </row>
    <row r="52">
      <c r="C52" s="48" t="inlineStr">
        <is>
          <t>—</t>
        </is>
      </c>
      <c r="D52" s="103">
        <f>Input!$E$48+0.04</f>
        <v/>
      </c>
      <c r="E52" s="53">
        <f>IF($D$52&lt;=E$47,"н/п",SUMPRODUCT($E$33:$BL$33/POWER(1+$D$52,(COLUMN($E$33:$BL$33)-4)/12))+($BR$33*(1+E$47)/($D$52-E$47))/POWER(1+$D$52,5))</f>
        <v/>
      </c>
      <c r="F52" s="53">
        <f>IF($D$52&lt;=F$47,"н/п",SUMPRODUCT($E$33:$BL$33/POWER(1+$D$52,(COLUMN($E$33:$BL$33)-4)/12))+($BR$33*(1+F$47)/($D$52-F$47))/POWER(1+$D$52,5))</f>
        <v/>
      </c>
      <c r="G52" s="53">
        <f>IF($D$52&lt;=G$47,"н/п",SUMPRODUCT($E$33:$BL$33/POWER(1+$D$52,(COLUMN($E$33:$BL$33)-4)/12))+($BR$33*(1+G$47)/($D$52-G$47))/POWER(1+$D$52,5))</f>
        <v/>
      </c>
      <c r="H52" s="53">
        <f>IF($D$52&lt;=H$47,"н/п",SUMPRODUCT($E$33:$BL$33/POWER(1+$D$52,(COLUMN($E$33:$BL$33)-4)/12))+($BR$33*(1+H$47)/($D$52-H$47))/POWER(1+$D$52,5))</f>
        <v/>
      </c>
      <c r="I52" s="53">
        <f>IF($D$52&lt;=I$47,"н/п",SUMPRODUCT($E$33:$BL$33/POWER(1+$D$52,(COLUMN($E$33:$BL$33)-4)/12))+($BR$33*(1+I$47)/($D$52-I$47))/POWER(1+$D$52,5))</f>
        <v/>
      </c>
    </row>
    <row r="53"/>
    <row r="54" ht="22" customHeight="1">
      <c r="A54" s="62" t="inlineStr">
        <is>
          <t xml:space="preserve">  ЛИКВИДНОСТЬ — МИНИМУМ CASH ЗА 60 МЕСЯЦЕВ</t>
        </is>
      </c>
    </row>
    <row r="55">
      <c r="A55" s="65" t="inlineStr">
        <is>
          <t>Минимальный Cash (конец месяца)</t>
        </is>
      </c>
      <c r="B55" s="43" t="inlineStr">
        <is>
          <t>млн ₽</t>
        </is>
      </c>
      <c r="C55" s="48" t="inlineStr">
        <is>
          <t>—</t>
        </is>
      </c>
      <c r="D55" s="45" t="inlineStr"/>
      <c r="E55" s="42" t="inlineStr"/>
      <c r="F55" s="42" t="inlineStr"/>
      <c r="G55" s="42" t="inlineStr"/>
      <c r="H55" s="42" t="inlineStr"/>
      <c r="I55" s="42" t="inlineStr"/>
      <c r="J55" s="42" t="inlineStr"/>
      <c r="K55" s="42" t="inlineStr"/>
      <c r="L55" s="42" t="inlineStr"/>
      <c r="M55" s="42" t="inlineStr"/>
      <c r="N55" s="42" t="inlineStr"/>
      <c r="O55" s="42" t="inlineStr"/>
      <c r="P55" s="42" t="inlineStr"/>
      <c r="Q55" s="42" t="inlineStr"/>
      <c r="R55" s="42" t="inlineStr"/>
      <c r="S55" s="42" t="inlineStr"/>
      <c r="T55" s="42" t="inlineStr"/>
      <c r="U55" s="42" t="inlineStr"/>
      <c r="V55" s="42" t="inlineStr"/>
      <c r="W55" s="42" t="inlineStr"/>
      <c r="X55" s="42" t="inlineStr"/>
      <c r="Y55" s="42" t="inlineStr"/>
      <c r="Z55" s="42" t="inlineStr"/>
      <c r="AA55" s="42" t="inlineStr"/>
      <c r="AB55" s="42" t="inlineStr"/>
      <c r="AC55" s="42" t="inlineStr"/>
      <c r="AD55" s="42" t="inlineStr"/>
      <c r="AE55" s="42" t="inlineStr"/>
      <c r="AF55" s="42" t="inlineStr"/>
      <c r="AG55" s="42" t="inlineStr"/>
      <c r="AH55" s="42" t="inlineStr"/>
      <c r="AI55" s="42" t="inlineStr"/>
      <c r="AJ55" s="42" t="inlineStr"/>
      <c r="AK55" s="42" t="inlineStr"/>
      <c r="AL55" s="42" t="inlineStr"/>
      <c r="AM55" s="42" t="inlineStr"/>
      <c r="AN55" s="42" t="inlineStr"/>
      <c r="AO55" s="42" t="inlineStr"/>
      <c r="AP55" s="42" t="inlineStr"/>
      <c r="AQ55" s="42" t="inlineStr"/>
      <c r="AR55" s="42" t="inlineStr"/>
      <c r="AS55" s="42" t="inlineStr"/>
      <c r="AT55" s="42" t="inlineStr"/>
      <c r="AU55" s="42" t="inlineStr"/>
      <c r="AV55" s="42" t="inlineStr"/>
      <c r="AW55" s="42" t="inlineStr"/>
      <c r="AX55" s="42" t="inlineStr"/>
      <c r="AY55" s="42" t="inlineStr"/>
      <c r="AZ55" s="42" t="inlineStr"/>
      <c r="BA55" s="42" t="inlineStr"/>
      <c r="BB55" s="42" t="inlineStr"/>
      <c r="BC55" s="42" t="inlineStr"/>
      <c r="BD55" s="42" t="inlineStr"/>
      <c r="BE55" s="42" t="inlineStr"/>
      <c r="BF55" s="42" t="inlineStr"/>
      <c r="BG55" s="42" t="inlineStr"/>
      <c r="BH55" s="42" t="inlineStr"/>
      <c r="BI55" s="42" t="inlineStr"/>
      <c r="BJ55" s="42" t="inlineStr"/>
      <c r="BK55" s="42" t="inlineStr"/>
      <c r="BL55" s="42" t="inlineStr"/>
      <c r="BN55" s="91">
        <f>MIN(E25:BL25)</f>
        <v/>
      </c>
      <c r="BO55" s="42" t="inlineStr"/>
      <c r="BP55" s="42" t="inlineStr"/>
      <c r="BQ55" s="42" t="inlineStr"/>
      <c r="BR55" s="42" t="inlineStr"/>
    </row>
    <row r="56">
      <c r="A56" s="65" t="inlineStr">
        <is>
          <t>Месяц минимума (М№)</t>
        </is>
      </c>
      <c r="B56" s="43" t="inlineStr">
        <is>
          <t>млн ₽</t>
        </is>
      </c>
      <c r="C56" s="48" t="inlineStr">
        <is>
          <t>—</t>
        </is>
      </c>
      <c r="D56" s="45" t="inlineStr"/>
      <c r="E56" s="42" t="inlineStr"/>
      <c r="F56" s="42" t="inlineStr"/>
      <c r="G56" s="42" t="inlineStr"/>
      <c r="H56" s="42" t="inlineStr"/>
      <c r="I56" s="42" t="inlineStr"/>
      <c r="J56" s="42" t="inlineStr"/>
      <c r="K56" s="42" t="inlineStr"/>
      <c r="L56" s="42" t="inlineStr"/>
      <c r="M56" s="42" t="inlineStr"/>
      <c r="N56" s="42" t="inlineStr"/>
      <c r="O56" s="42" t="inlineStr"/>
      <c r="P56" s="42" t="inlineStr"/>
      <c r="Q56" s="42" t="inlineStr"/>
      <c r="R56" s="42" t="inlineStr"/>
      <c r="S56" s="42" t="inlineStr"/>
      <c r="T56" s="42" t="inlineStr"/>
      <c r="U56" s="42" t="inlineStr"/>
      <c r="V56" s="42" t="inlineStr"/>
      <c r="W56" s="42" t="inlineStr"/>
      <c r="X56" s="42" t="inlineStr"/>
      <c r="Y56" s="42" t="inlineStr"/>
      <c r="Z56" s="42" t="inlineStr"/>
      <c r="AA56" s="42" t="inlineStr"/>
      <c r="AB56" s="42" t="inlineStr"/>
      <c r="AC56" s="42" t="inlineStr"/>
      <c r="AD56" s="42" t="inlineStr"/>
      <c r="AE56" s="42" t="inlineStr"/>
      <c r="AF56" s="42" t="inlineStr"/>
      <c r="AG56" s="42" t="inlineStr"/>
      <c r="AH56" s="42" t="inlineStr"/>
      <c r="AI56" s="42" t="inlineStr"/>
      <c r="AJ56" s="42" t="inlineStr"/>
      <c r="AK56" s="42" t="inlineStr"/>
      <c r="AL56" s="42" t="inlineStr"/>
      <c r="AM56" s="42" t="inlineStr"/>
      <c r="AN56" s="42" t="inlineStr"/>
      <c r="AO56" s="42" t="inlineStr"/>
      <c r="AP56" s="42" t="inlineStr"/>
      <c r="AQ56" s="42" t="inlineStr"/>
      <c r="AR56" s="42" t="inlineStr"/>
      <c r="AS56" s="42" t="inlineStr"/>
      <c r="AT56" s="42" t="inlineStr"/>
      <c r="AU56" s="42" t="inlineStr"/>
      <c r="AV56" s="42" t="inlineStr"/>
      <c r="AW56" s="42" t="inlineStr"/>
      <c r="AX56" s="42" t="inlineStr"/>
      <c r="AY56" s="42" t="inlineStr"/>
      <c r="AZ56" s="42" t="inlineStr"/>
      <c r="BA56" s="42" t="inlineStr"/>
      <c r="BB56" s="42" t="inlineStr"/>
      <c r="BC56" s="42" t="inlineStr"/>
      <c r="BD56" s="42" t="inlineStr"/>
      <c r="BE56" s="42" t="inlineStr"/>
      <c r="BF56" s="42" t="inlineStr"/>
      <c r="BG56" s="42" t="inlineStr"/>
      <c r="BH56" s="42" t="inlineStr"/>
      <c r="BI56" s="42" t="inlineStr"/>
      <c r="BJ56" s="42" t="inlineStr"/>
      <c r="BK56" s="42" t="inlineStr"/>
      <c r="BL56" s="42" t="inlineStr"/>
      <c r="BN56" s="104">
        <f>MATCH(MIN(E25:BL25),E25:BL25,0)</f>
        <v/>
      </c>
      <c r="BO56" s="42" t="inlineStr"/>
      <c r="BP56" s="42" t="inlineStr"/>
      <c r="BQ56" s="42" t="inlineStr"/>
      <c r="BR56" s="42" t="inlineStr"/>
    </row>
    <row r="57">
      <c r="A57" s="74" t="inlineStr">
        <is>
          <t>Если минимум &lt; 0 — потребность во внешнем финансировании; стоимость фондирования разрыва не моделируется (revolver — в v8), при устойчивом Cash&lt;0 показатели EBT/налог/EV завышены.</t>
        </is>
      </c>
      <c r="B57" s="75" t="n"/>
      <c r="C57" s="75" t="n"/>
      <c r="D57" s="75" t="n"/>
      <c r="E57" s="75" t="n"/>
      <c r="F57" s="75" t="n"/>
      <c r="G57" s="75" t="n"/>
      <c r="H57" s="75" t="n"/>
      <c r="I57" s="75" t="n"/>
      <c r="J57" s="75" t="n"/>
      <c r="K57" s="75" t="n"/>
      <c r="L57" s="75" t="n"/>
      <c r="M57" s="75" t="n"/>
      <c r="N57" s="75" t="n"/>
      <c r="O57" s="75" t="n"/>
      <c r="P57" s="75" t="n"/>
      <c r="Q57" s="75" t="n"/>
      <c r="R57" s="75" t="n"/>
      <c r="S57" s="75" t="n"/>
      <c r="T57" s="75" t="n"/>
      <c r="U57" s="75" t="n"/>
      <c r="V57" s="75" t="n"/>
      <c r="W57" s="75" t="n"/>
      <c r="X57" s="75" t="n"/>
      <c r="Y57" s="75" t="n"/>
      <c r="Z57" s="75" t="n"/>
      <c r="AA57" s="75" t="n"/>
      <c r="AB57" s="75" t="n"/>
      <c r="AC57" s="75" t="n"/>
      <c r="AD57" s="75" t="n"/>
      <c r="AE57" s="75" t="n"/>
      <c r="AF57" s="75" t="n"/>
      <c r="AG57" s="75" t="n"/>
      <c r="AH57" s="75" t="n"/>
      <c r="AI57" s="75" t="n"/>
      <c r="AJ57" s="75" t="n"/>
      <c r="AK57" s="75" t="n"/>
      <c r="AL57" s="75" t="n"/>
      <c r="AM57" s="75" t="n"/>
      <c r="AN57" s="75" t="n"/>
      <c r="AO57" s="75" t="n"/>
      <c r="AP57" s="75" t="n"/>
      <c r="AQ57" s="75" t="n"/>
      <c r="AR57" s="75" t="n"/>
      <c r="AS57" s="75" t="n"/>
      <c r="AT57" s="75" t="n"/>
      <c r="AU57" s="75" t="n"/>
      <c r="AV57" s="75" t="n"/>
      <c r="AW57" s="75" t="n"/>
      <c r="AX57" s="75" t="n"/>
      <c r="AY57" s="75" t="n"/>
      <c r="AZ57" s="75" t="n"/>
      <c r="BA57" s="75" t="n"/>
      <c r="BB57" s="75" t="n"/>
      <c r="BC57" s="75" t="n"/>
      <c r="BD57" s="75" t="n"/>
      <c r="BE57" s="75" t="n"/>
      <c r="BF57" s="75" t="n"/>
      <c r="BG57" s="75" t="n"/>
      <c r="BH57" s="75" t="n"/>
      <c r="BI57" s="75" t="n"/>
      <c r="BJ57" s="75" t="n"/>
      <c r="BK57" s="75" t="n"/>
      <c r="BL57" s="75" t="n"/>
      <c r="BM57" s="75" t="n"/>
      <c r="BN57" s="75" t="n"/>
      <c r="BO57" s="75" t="n"/>
      <c r="BP57" s="75" t="n"/>
      <c r="BQ57" s="75" t="n"/>
      <c r="BR57" s="76" t="n"/>
    </row>
  </sheetData>
  <mergeCells count="12">
    <mergeCell ref="A57:BR57"/>
    <mergeCell ref="A16:BR16"/>
    <mergeCell ref="A2:BR2"/>
    <mergeCell ref="A54:BR54"/>
    <mergeCell ref="A46:BR46"/>
    <mergeCell ref="A32:BR32"/>
    <mergeCell ref="A5:BR5"/>
    <mergeCell ref="A1:BR1"/>
    <mergeCell ref="A27:BR27"/>
    <mergeCell ref="A31:BR31"/>
    <mergeCell ref="A22:BR22"/>
    <mergeCell ref="A12:BR1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0"/>
    <pageSetUpPr/>
  </sheetPr>
  <dimension ref="A1:BR44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ОТЧЁТ О ПРИБЫЛЯХ И УБЫТКАХ (P&amp;L, помесячно)</t>
        </is>
      </c>
    </row>
    <row r="2" ht="18" customHeight="1">
      <c r="A2" s="38" t="inlineStr">
        <is>
          <t xml:space="preserve">  🔵 презентация: все строки — ссылки на листы-владельцы (Выручка/COGS/CAPEX/Долг/Налоги), пересчётов нет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/>
    <row r="6" ht="22" customHeight="1">
      <c r="A6" s="41" t="inlineStr">
        <is>
          <t xml:space="preserve">  ДОХОДЫ</t>
        </is>
      </c>
    </row>
    <row r="7">
      <c r="A7" s="51" t="inlineStr">
        <is>
          <t>Выручка (Revenue)</t>
        </is>
      </c>
      <c r="B7" s="96" t="inlineStr">
        <is>
          <t>млн ₽</t>
        </is>
      </c>
      <c r="C7" s="67">
        <f>SUM(BN7:BR7)</f>
        <v/>
      </c>
      <c r="D7" s="45" t="inlineStr"/>
      <c r="E7" s="84">
        <f>'Выручка'!E30</f>
        <v/>
      </c>
      <c r="F7" s="84">
        <f>'Выручка'!F30</f>
        <v/>
      </c>
      <c r="G7" s="84">
        <f>'Выручка'!G30</f>
        <v/>
      </c>
      <c r="H7" s="84">
        <f>'Выручка'!H30</f>
        <v/>
      </c>
      <c r="I7" s="84">
        <f>'Выручка'!I30</f>
        <v/>
      </c>
      <c r="J7" s="84">
        <f>'Выручка'!J30</f>
        <v/>
      </c>
      <c r="K7" s="84">
        <f>'Выручка'!K30</f>
        <v/>
      </c>
      <c r="L7" s="84">
        <f>'Выручка'!L30</f>
        <v/>
      </c>
      <c r="M7" s="84">
        <f>'Выручка'!M30</f>
        <v/>
      </c>
      <c r="N7" s="84">
        <f>'Выручка'!N30</f>
        <v/>
      </c>
      <c r="O7" s="84">
        <f>'Выручка'!O30</f>
        <v/>
      </c>
      <c r="P7" s="84">
        <f>'Выручка'!P30</f>
        <v/>
      </c>
      <c r="Q7" s="84">
        <f>'Выручка'!Q30</f>
        <v/>
      </c>
      <c r="R7" s="84">
        <f>'Выручка'!R30</f>
        <v/>
      </c>
      <c r="S7" s="84">
        <f>'Выручка'!S30</f>
        <v/>
      </c>
      <c r="T7" s="84">
        <f>'Выручка'!T30</f>
        <v/>
      </c>
      <c r="U7" s="84">
        <f>'Выручка'!U30</f>
        <v/>
      </c>
      <c r="V7" s="84">
        <f>'Выручка'!V30</f>
        <v/>
      </c>
      <c r="W7" s="84">
        <f>'Выручка'!W30</f>
        <v/>
      </c>
      <c r="X7" s="84">
        <f>'Выручка'!X30</f>
        <v/>
      </c>
      <c r="Y7" s="84">
        <f>'Выручка'!Y30</f>
        <v/>
      </c>
      <c r="Z7" s="84">
        <f>'Выручка'!Z30</f>
        <v/>
      </c>
      <c r="AA7" s="84">
        <f>'Выручка'!AA30</f>
        <v/>
      </c>
      <c r="AB7" s="84">
        <f>'Выручка'!AB30</f>
        <v/>
      </c>
      <c r="AC7" s="84">
        <f>'Выручка'!AC30</f>
        <v/>
      </c>
      <c r="AD7" s="84">
        <f>'Выручка'!AD30</f>
        <v/>
      </c>
      <c r="AE7" s="84">
        <f>'Выручка'!AE30</f>
        <v/>
      </c>
      <c r="AF7" s="84">
        <f>'Выручка'!AF30</f>
        <v/>
      </c>
      <c r="AG7" s="84">
        <f>'Выручка'!AG30</f>
        <v/>
      </c>
      <c r="AH7" s="84">
        <f>'Выручка'!AH30</f>
        <v/>
      </c>
      <c r="AI7" s="84">
        <f>'Выручка'!AI30</f>
        <v/>
      </c>
      <c r="AJ7" s="84">
        <f>'Выручка'!AJ30</f>
        <v/>
      </c>
      <c r="AK7" s="84">
        <f>'Выручка'!AK30</f>
        <v/>
      </c>
      <c r="AL7" s="84">
        <f>'Выручка'!AL30</f>
        <v/>
      </c>
      <c r="AM7" s="84">
        <f>'Выручка'!AM30</f>
        <v/>
      </c>
      <c r="AN7" s="84">
        <f>'Выручка'!AN30</f>
        <v/>
      </c>
      <c r="AO7" s="84">
        <f>'Выручка'!AO30</f>
        <v/>
      </c>
      <c r="AP7" s="84">
        <f>'Выручка'!AP30</f>
        <v/>
      </c>
      <c r="AQ7" s="84">
        <f>'Выручка'!AQ30</f>
        <v/>
      </c>
      <c r="AR7" s="84">
        <f>'Выручка'!AR30</f>
        <v/>
      </c>
      <c r="AS7" s="84">
        <f>'Выручка'!AS30</f>
        <v/>
      </c>
      <c r="AT7" s="84">
        <f>'Выручка'!AT30</f>
        <v/>
      </c>
      <c r="AU7" s="84">
        <f>'Выручка'!AU30</f>
        <v/>
      </c>
      <c r="AV7" s="84">
        <f>'Выручка'!AV30</f>
        <v/>
      </c>
      <c r="AW7" s="84">
        <f>'Выручка'!AW30</f>
        <v/>
      </c>
      <c r="AX7" s="84">
        <f>'Выручка'!AX30</f>
        <v/>
      </c>
      <c r="AY7" s="84">
        <f>'Выручка'!AY30</f>
        <v/>
      </c>
      <c r="AZ7" s="84">
        <f>'Выручка'!AZ30</f>
        <v/>
      </c>
      <c r="BA7" s="84">
        <f>'Выручка'!BA30</f>
        <v/>
      </c>
      <c r="BB7" s="84">
        <f>'Выручка'!BB30</f>
        <v/>
      </c>
      <c r="BC7" s="84">
        <f>'Выручка'!BC30</f>
        <v/>
      </c>
      <c r="BD7" s="84">
        <f>'Выручка'!BD30</f>
        <v/>
      </c>
      <c r="BE7" s="84">
        <f>'Выручка'!BE30</f>
        <v/>
      </c>
      <c r="BF7" s="84">
        <f>'Выручка'!BF30</f>
        <v/>
      </c>
      <c r="BG7" s="84">
        <f>'Выручка'!BG30</f>
        <v/>
      </c>
      <c r="BH7" s="84">
        <f>'Выручка'!BH30</f>
        <v/>
      </c>
      <c r="BI7" s="84">
        <f>'Выручка'!BI30</f>
        <v/>
      </c>
      <c r="BJ7" s="84">
        <f>'Выручка'!BJ30</f>
        <v/>
      </c>
      <c r="BK7" s="84">
        <f>'Выручка'!BK30</f>
        <v/>
      </c>
      <c r="BL7" s="84">
        <f>'Выручка'!BL30</f>
        <v/>
      </c>
      <c r="BN7" s="84">
        <f>'Выручка'!BN30</f>
        <v/>
      </c>
      <c r="BO7" s="84">
        <f>'Выручка'!BO30</f>
        <v/>
      </c>
      <c r="BP7" s="84">
        <f>'Выручка'!BP30</f>
        <v/>
      </c>
      <c r="BQ7" s="84">
        <f>'Выручка'!BQ30</f>
        <v/>
      </c>
      <c r="BR7" s="84">
        <f>'Выручка'!BR30</f>
        <v/>
      </c>
    </row>
    <row r="8" ht="22" customHeight="1">
      <c r="A8" s="62" t="inlineStr">
        <is>
          <t xml:space="preserve">  СЕБЕСТОИМОСТЬ</t>
        </is>
      </c>
    </row>
    <row r="9">
      <c r="A9" s="93" t="inlineStr">
        <is>
          <t>− COGS (себестоимость)</t>
        </is>
      </c>
      <c r="B9" s="97" t="inlineStr">
        <is>
          <t>млн ₽</t>
        </is>
      </c>
      <c r="C9" s="53">
        <f>SUM(BN9:BR9)</f>
        <v/>
      </c>
      <c r="D9" s="45" t="inlineStr"/>
      <c r="E9" s="85">
        <f>'COGS &amp; SGA'!E15</f>
        <v/>
      </c>
      <c r="F9" s="85">
        <f>'COGS &amp; SGA'!F15</f>
        <v/>
      </c>
      <c r="G9" s="85">
        <f>'COGS &amp; SGA'!G15</f>
        <v/>
      </c>
      <c r="H9" s="85">
        <f>'COGS &amp; SGA'!H15</f>
        <v/>
      </c>
      <c r="I9" s="85">
        <f>'COGS &amp; SGA'!I15</f>
        <v/>
      </c>
      <c r="J9" s="85">
        <f>'COGS &amp; SGA'!J15</f>
        <v/>
      </c>
      <c r="K9" s="85">
        <f>'COGS &amp; SGA'!K15</f>
        <v/>
      </c>
      <c r="L9" s="85">
        <f>'COGS &amp; SGA'!L15</f>
        <v/>
      </c>
      <c r="M9" s="85">
        <f>'COGS &amp; SGA'!M15</f>
        <v/>
      </c>
      <c r="N9" s="85">
        <f>'COGS &amp; SGA'!N15</f>
        <v/>
      </c>
      <c r="O9" s="85">
        <f>'COGS &amp; SGA'!O15</f>
        <v/>
      </c>
      <c r="P9" s="85">
        <f>'COGS &amp; SGA'!P15</f>
        <v/>
      </c>
      <c r="Q9" s="85">
        <f>'COGS &amp; SGA'!Q15</f>
        <v/>
      </c>
      <c r="R9" s="85">
        <f>'COGS &amp; SGA'!R15</f>
        <v/>
      </c>
      <c r="S9" s="85">
        <f>'COGS &amp; SGA'!S15</f>
        <v/>
      </c>
      <c r="T9" s="85">
        <f>'COGS &amp; SGA'!T15</f>
        <v/>
      </c>
      <c r="U9" s="85">
        <f>'COGS &amp; SGA'!U15</f>
        <v/>
      </c>
      <c r="V9" s="85">
        <f>'COGS &amp; SGA'!V15</f>
        <v/>
      </c>
      <c r="W9" s="85">
        <f>'COGS &amp; SGA'!W15</f>
        <v/>
      </c>
      <c r="X9" s="85">
        <f>'COGS &amp; SGA'!X15</f>
        <v/>
      </c>
      <c r="Y9" s="85">
        <f>'COGS &amp; SGA'!Y15</f>
        <v/>
      </c>
      <c r="Z9" s="85">
        <f>'COGS &amp; SGA'!Z15</f>
        <v/>
      </c>
      <c r="AA9" s="85">
        <f>'COGS &amp; SGA'!AA15</f>
        <v/>
      </c>
      <c r="AB9" s="85">
        <f>'COGS &amp; SGA'!AB15</f>
        <v/>
      </c>
      <c r="AC9" s="85">
        <f>'COGS &amp; SGA'!AC15</f>
        <v/>
      </c>
      <c r="AD9" s="85">
        <f>'COGS &amp; SGA'!AD15</f>
        <v/>
      </c>
      <c r="AE9" s="85">
        <f>'COGS &amp; SGA'!AE15</f>
        <v/>
      </c>
      <c r="AF9" s="85">
        <f>'COGS &amp; SGA'!AF15</f>
        <v/>
      </c>
      <c r="AG9" s="85">
        <f>'COGS &amp; SGA'!AG15</f>
        <v/>
      </c>
      <c r="AH9" s="85">
        <f>'COGS &amp; SGA'!AH15</f>
        <v/>
      </c>
      <c r="AI9" s="85">
        <f>'COGS &amp; SGA'!AI15</f>
        <v/>
      </c>
      <c r="AJ9" s="85">
        <f>'COGS &amp; SGA'!AJ15</f>
        <v/>
      </c>
      <c r="AK9" s="85">
        <f>'COGS &amp; SGA'!AK15</f>
        <v/>
      </c>
      <c r="AL9" s="85">
        <f>'COGS &amp; SGA'!AL15</f>
        <v/>
      </c>
      <c r="AM9" s="85">
        <f>'COGS &amp; SGA'!AM15</f>
        <v/>
      </c>
      <c r="AN9" s="85">
        <f>'COGS &amp; SGA'!AN15</f>
        <v/>
      </c>
      <c r="AO9" s="85">
        <f>'COGS &amp; SGA'!AO15</f>
        <v/>
      </c>
      <c r="AP9" s="85">
        <f>'COGS &amp; SGA'!AP15</f>
        <v/>
      </c>
      <c r="AQ9" s="85">
        <f>'COGS &amp; SGA'!AQ15</f>
        <v/>
      </c>
      <c r="AR9" s="85">
        <f>'COGS &amp; SGA'!AR15</f>
        <v/>
      </c>
      <c r="AS9" s="85">
        <f>'COGS &amp; SGA'!AS15</f>
        <v/>
      </c>
      <c r="AT9" s="85">
        <f>'COGS &amp; SGA'!AT15</f>
        <v/>
      </c>
      <c r="AU9" s="85">
        <f>'COGS &amp; SGA'!AU15</f>
        <v/>
      </c>
      <c r="AV9" s="85">
        <f>'COGS &amp; SGA'!AV15</f>
        <v/>
      </c>
      <c r="AW9" s="85">
        <f>'COGS &amp; SGA'!AW15</f>
        <v/>
      </c>
      <c r="AX9" s="85">
        <f>'COGS &amp; SGA'!AX15</f>
        <v/>
      </c>
      <c r="AY9" s="85">
        <f>'COGS &amp; SGA'!AY15</f>
        <v/>
      </c>
      <c r="AZ9" s="85">
        <f>'COGS &amp; SGA'!AZ15</f>
        <v/>
      </c>
      <c r="BA9" s="85">
        <f>'COGS &amp; SGA'!BA15</f>
        <v/>
      </c>
      <c r="BB9" s="85">
        <f>'COGS &amp; SGA'!BB15</f>
        <v/>
      </c>
      <c r="BC9" s="85">
        <f>'COGS &amp; SGA'!BC15</f>
        <v/>
      </c>
      <c r="BD9" s="85">
        <f>'COGS &amp; SGA'!BD15</f>
        <v/>
      </c>
      <c r="BE9" s="85">
        <f>'COGS &amp; SGA'!BE15</f>
        <v/>
      </c>
      <c r="BF9" s="85">
        <f>'COGS &amp; SGA'!BF15</f>
        <v/>
      </c>
      <c r="BG9" s="85">
        <f>'COGS &amp; SGA'!BG15</f>
        <v/>
      </c>
      <c r="BH9" s="85">
        <f>'COGS &amp; SGA'!BH15</f>
        <v/>
      </c>
      <c r="BI9" s="85">
        <f>'COGS &amp; SGA'!BI15</f>
        <v/>
      </c>
      <c r="BJ9" s="85">
        <f>'COGS &amp; SGA'!BJ15</f>
        <v/>
      </c>
      <c r="BK9" s="85">
        <f>'COGS &amp; SGA'!BK15</f>
        <v/>
      </c>
      <c r="BL9" s="85">
        <f>'COGS &amp; SGA'!BL15</f>
        <v/>
      </c>
      <c r="BN9" s="85">
        <f>'COGS &amp; SGA'!BN15</f>
        <v/>
      </c>
      <c r="BO9" s="85">
        <f>'COGS &amp; SGA'!BO15</f>
        <v/>
      </c>
      <c r="BP9" s="85">
        <f>'COGS &amp; SGA'!BP15</f>
        <v/>
      </c>
      <c r="BQ9" s="85">
        <f>'COGS &amp; SGA'!BQ15</f>
        <v/>
      </c>
      <c r="BR9" s="85">
        <f>'COGS &amp; SGA'!BR15</f>
        <v/>
      </c>
    </row>
    <row r="10">
      <c r="A10" s="105" t="inlineStr">
        <is>
          <t xml:space="preserve">  COGS %</t>
        </is>
      </c>
      <c r="B10" s="106" t="inlineStr">
        <is>
          <t>%</t>
        </is>
      </c>
      <c r="C10" s="48" t="inlineStr">
        <is>
          <t>—</t>
        </is>
      </c>
      <c r="D10" s="45" t="inlineStr"/>
      <c r="E10" s="83">
        <f>IFERROR(E9/E7,0)</f>
        <v/>
      </c>
      <c r="F10" s="83">
        <f>IFERROR(F9/F7,0)</f>
        <v/>
      </c>
      <c r="G10" s="83">
        <f>IFERROR(G9/G7,0)</f>
        <v/>
      </c>
      <c r="H10" s="83">
        <f>IFERROR(H9/H7,0)</f>
        <v/>
      </c>
      <c r="I10" s="83">
        <f>IFERROR(I9/I7,0)</f>
        <v/>
      </c>
      <c r="J10" s="83">
        <f>IFERROR(J9/J7,0)</f>
        <v/>
      </c>
      <c r="K10" s="83">
        <f>IFERROR(K9/K7,0)</f>
        <v/>
      </c>
      <c r="L10" s="83">
        <f>IFERROR(L9/L7,0)</f>
        <v/>
      </c>
      <c r="M10" s="83">
        <f>IFERROR(M9/M7,0)</f>
        <v/>
      </c>
      <c r="N10" s="83">
        <f>IFERROR(N9/N7,0)</f>
        <v/>
      </c>
      <c r="O10" s="83">
        <f>IFERROR(O9/O7,0)</f>
        <v/>
      </c>
      <c r="P10" s="83">
        <f>IFERROR(P9/P7,0)</f>
        <v/>
      </c>
      <c r="Q10" s="83">
        <f>IFERROR(Q9/Q7,0)</f>
        <v/>
      </c>
      <c r="R10" s="83">
        <f>IFERROR(R9/R7,0)</f>
        <v/>
      </c>
      <c r="S10" s="83">
        <f>IFERROR(S9/S7,0)</f>
        <v/>
      </c>
      <c r="T10" s="83">
        <f>IFERROR(T9/T7,0)</f>
        <v/>
      </c>
      <c r="U10" s="83">
        <f>IFERROR(U9/U7,0)</f>
        <v/>
      </c>
      <c r="V10" s="83">
        <f>IFERROR(V9/V7,0)</f>
        <v/>
      </c>
      <c r="W10" s="83">
        <f>IFERROR(W9/W7,0)</f>
        <v/>
      </c>
      <c r="X10" s="83">
        <f>IFERROR(X9/X7,0)</f>
        <v/>
      </c>
      <c r="Y10" s="83">
        <f>IFERROR(Y9/Y7,0)</f>
        <v/>
      </c>
      <c r="Z10" s="83">
        <f>IFERROR(Z9/Z7,0)</f>
        <v/>
      </c>
      <c r="AA10" s="83">
        <f>IFERROR(AA9/AA7,0)</f>
        <v/>
      </c>
      <c r="AB10" s="83">
        <f>IFERROR(AB9/AB7,0)</f>
        <v/>
      </c>
      <c r="AC10" s="83">
        <f>IFERROR(AC9/AC7,0)</f>
        <v/>
      </c>
      <c r="AD10" s="83">
        <f>IFERROR(AD9/AD7,0)</f>
        <v/>
      </c>
      <c r="AE10" s="83">
        <f>IFERROR(AE9/AE7,0)</f>
        <v/>
      </c>
      <c r="AF10" s="83">
        <f>IFERROR(AF9/AF7,0)</f>
        <v/>
      </c>
      <c r="AG10" s="83">
        <f>IFERROR(AG9/AG7,0)</f>
        <v/>
      </c>
      <c r="AH10" s="83">
        <f>IFERROR(AH9/AH7,0)</f>
        <v/>
      </c>
      <c r="AI10" s="83">
        <f>IFERROR(AI9/AI7,0)</f>
        <v/>
      </c>
      <c r="AJ10" s="83">
        <f>IFERROR(AJ9/AJ7,0)</f>
        <v/>
      </c>
      <c r="AK10" s="83">
        <f>IFERROR(AK9/AK7,0)</f>
        <v/>
      </c>
      <c r="AL10" s="83">
        <f>IFERROR(AL9/AL7,0)</f>
        <v/>
      </c>
      <c r="AM10" s="83">
        <f>IFERROR(AM9/AM7,0)</f>
        <v/>
      </c>
      <c r="AN10" s="83">
        <f>IFERROR(AN9/AN7,0)</f>
        <v/>
      </c>
      <c r="AO10" s="83">
        <f>IFERROR(AO9/AO7,0)</f>
        <v/>
      </c>
      <c r="AP10" s="83">
        <f>IFERROR(AP9/AP7,0)</f>
        <v/>
      </c>
      <c r="AQ10" s="83">
        <f>IFERROR(AQ9/AQ7,0)</f>
        <v/>
      </c>
      <c r="AR10" s="83">
        <f>IFERROR(AR9/AR7,0)</f>
        <v/>
      </c>
      <c r="AS10" s="83">
        <f>IFERROR(AS9/AS7,0)</f>
        <v/>
      </c>
      <c r="AT10" s="83">
        <f>IFERROR(AT9/AT7,0)</f>
        <v/>
      </c>
      <c r="AU10" s="83">
        <f>IFERROR(AU9/AU7,0)</f>
        <v/>
      </c>
      <c r="AV10" s="83">
        <f>IFERROR(AV9/AV7,0)</f>
        <v/>
      </c>
      <c r="AW10" s="83">
        <f>IFERROR(AW9/AW7,0)</f>
        <v/>
      </c>
      <c r="AX10" s="83">
        <f>IFERROR(AX9/AX7,0)</f>
        <v/>
      </c>
      <c r="AY10" s="83">
        <f>IFERROR(AY9/AY7,0)</f>
        <v/>
      </c>
      <c r="AZ10" s="83">
        <f>IFERROR(AZ9/AZ7,0)</f>
        <v/>
      </c>
      <c r="BA10" s="83">
        <f>IFERROR(BA9/BA7,0)</f>
        <v/>
      </c>
      <c r="BB10" s="83">
        <f>IFERROR(BB9/BB7,0)</f>
        <v/>
      </c>
      <c r="BC10" s="83">
        <f>IFERROR(BC9/BC7,0)</f>
        <v/>
      </c>
      <c r="BD10" s="83">
        <f>IFERROR(BD9/BD7,0)</f>
        <v/>
      </c>
      <c r="BE10" s="83">
        <f>IFERROR(BE9/BE7,0)</f>
        <v/>
      </c>
      <c r="BF10" s="83">
        <f>IFERROR(BF9/BF7,0)</f>
        <v/>
      </c>
      <c r="BG10" s="83">
        <f>IFERROR(BG9/BG7,0)</f>
        <v/>
      </c>
      <c r="BH10" s="83">
        <f>IFERROR(BH9/BH7,0)</f>
        <v/>
      </c>
      <c r="BI10" s="83">
        <f>IFERROR(BI9/BI7,0)</f>
        <v/>
      </c>
      <c r="BJ10" s="83">
        <f>IFERROR(BJ9/BJ7,0)</f>
        <v/>
      </c>
      <c r="BK10" s="83">
        <f>IFERROR(BK9/BK7,0)</f>
        <v/>
      </c>
      <c r="BL10" s="83">
        <f>IFERROR(BL9/BL7,0)</f>
        <v/>
      </c>
      <c r="BN10" s="83">
        <f>IFERROR(BN9/BN7,0)</f>
        <v/>
      </c>
      <c r="BO10" s="83">
        <f>IFERROR(BO9/BO7,0)</f>
        <v/>
      </c>
      <c r="BP10" s="83">
        <f>IFERROR(BP9/BP7,0)</f>
        <v/>
      </c>
      <c r="BQ10" s="83">
        <f>IFERROR(BQ9/BQ7,0)</f>
        <v/>
      </c>
      <c r="BR10" s="83">
        <f>IFERROR(BR9/BR7,0)</f>
        <v/>
      </c>
    </row>
    <row r="11">
      <c r="A11" s="51" t="inlineStr">
        <is>
          <t xml:space="preserve"> = Gross Profit (валовая прибыль)</t>
        </is>
      </c>
      <c r="B11" s="96" t="inlineStr">
        <is>
          <t>млн ₽</t>
        </is>
      </c>
      <c r="C11" s="67">
        <f>SUM(BN11:BR11)</f>
        <v/>
      </c>
      <c r="D11" s="45" t="inlineStr"/>
      <c r="E11" s="84">
        <f>'COGS &amp; SGA'!E18</f>
        <v/>
      </c>
      <c r="F11" s="84">
        <f>'COGS &amp; SGA'!F18</f>
        <v/>
      </c>
      <c r="G11" s="84">
        <f>'COGS &amp; SGA'!G18</f>
        <v/>
      </c>
      <c r="H11" s="84">
        <f>'COGS &amp; SGA'!H18</f>
        <v/>
      </c>
      <c r="I11" s="84">
        <f>'COGS &amp; SGA'!I18</f>
        <v/>
      </c>
      <c r="J11" s="84">
        <f>'COGS &amp; SGA'!J18</f>
        <v/>
      </c>
      <c r="K11" s="84">
        <f>'COGS &amp; SGA'!K18</f>
        <v/>
      </c>
      <c r="L11" s="84">
        <f>'COGS &amp; SGA'!L18</f>
        <v/>
      </c>
      <c r="M11" s="84">
        <f>'COGS &amp; SGA'!M18</f>
        <v/>
      </c>
      <c r="N11" s="84">
        <f>'COGS &amp; SGA'!N18</f>
        <v/>
      </c>
      <c r="O11" s="84">
        <f>'COGS &amp; SGA'!O18</f>
        <v/>
      </c>
      <c r="P11" s="84">
        <f>'COGS &amp; SGA'!P18</f>
        <v/>
      </c>
      <c r="Q11" s="84">
        <f>'COGS &amp; SGA'!Q18</f>
        <v/>
      </c>
      <c r="R11" s="84">
        <f>'COGS &amp; SGA'!R18</f>
        <v/>
      </c>
      <c r="S11" s="84">
        <f>'COGS &amp; SGA'!S18</f>
        <v/>
      </c>
      <c r="T11" s="84">
        <f>'COGS &amp; SGA'!T18</f>
        <v/>
      </c>
      <c r="U11" s="84">
        <f>'COGS &amp; SGA'!U18</f>
        <v/>
      </c>
      <c r="V11" s="84">
        <f>'COGS &amp; SGA'!V18</f>
        <v/>
      </c>
      <c r="W11" s="84">
        <f>'COGS &amp; SGA'!W18</f>
        <v/>
      </c>
      <c r="X11" s="84">
        <f>'COGS &amp; SGA'!X18</f>
        <v/>
      </c>
      <c r="Y11" s="84">
        <f>'COGS &amp; SGA'!Y18</f>
        <v/>
      </c>
      <c r="Z11" s="84">
        <f>'COGS &amp; SGA'!Z18</f>
        <v/>
      </c>
      <c r="AA11" s="84">
        <f>'COGS &amp; SGA'!AA18</f>
        <v/>
      </c>
      <c r="AB11" s="84">
        <f>'COGS &amp; SGA'!AB18</f>
        <v/>
      </c>
      <c r="AC11" s="84">
        <f>'COGS &amp; SGA'!AC18</f>
        <v/>
      </c>
      <c r="AD11" s="84">
        <f>'COGS &amp; SGA'!AD18</f>
        <v/>
      </c>
      <c r="AE11" s="84">
        <f>'COGS &amp; SGA'!AE18</f>
        <v/>
      </c>
      <c r="AF11" s="84">
        <f>'COGS &amp; SGA'!AF18</f>
        <v/>
      </c>
      <c r="AG11" s="84">
        <f>'COGS &amp; SGA'!AG18</f>
        <v/>
      </c>
      <c r="AH11" s="84">
        <f>'COGS &amp; SGA'!AH18</f>
        <v/>
      </c>
      <c r="AI11" s="84">
        <f>'COGS &amp; SGA'!AI18</f>
        <v/>
      </c>
      <c r="AJ11" s="84">
        <f>'COGS &amp; SGA'!AJ18</f>
        <v/>
      </c>
      <c r="AK11" s="84">
        <f>'COGS &amp; SGA'!AK18</f>
        <v/>
      </c>
      <c r="AL11" s="84">
        <f>'COGS &amp; SGA'!AL18</f>
        <v/>
      </c>
      <c r="AM11" s="84">
        <f>'COGS &amp; SGA'!AM18</f>
        <v/>
      </c>
      <c r="AN11" s="84">
        <f>'COGS &amp; SGA'!AN18</f>
        <v/>
      </c>
      <c r="AO11" s="84">
        <f>'COGS &amp; SGA'!AO18</f>
        <v/>
      </c>
      <c r="AP11" s="84">
        <f>'COGS &amp; SGA'!AP18</f>
        <v/>
      </c>
      <c r="AQ11" s="84">
        <f>'COGS &amp; SGA'!AQ18</f>
        <v/>
      </c>
      <c r="AR11" s="84">
        <f>'COGS &amp; SGA'!AR18</f>
        <v/>
      </c>
      <c r="AS11" s="84">
        <f>'COGS &amp; SGA'!AS18</f>
        <v/>
      </c>
      <c r="AT11" s="84">
        <f>'COGS &amp; SGA'!AT18</f>
        <v/>
      </c>
      <c r="AU11" s="84">
        <f>'COGS &amp; SGA'!AU18</f>
        <v/>
      </c>
      <c r="AV11" s="84">
        <f>'COGS &amp; SGA'!AV18</f>
        <v/>
      </c>
      <c r="AW11" s="84">
        <f>'COGS &amp; SGA'!AW18</f>
        <v/>
      </c>
      <c r="AX11" s="84">
        <f>'COGS &amp; SGA'!AX18</f>
        <v/>
      </c>
      <c r="AY11" s="84">
        <f>'COGS &amp; SGA'!AY18</f>
        <v/>
      </c>
      <c r="AZ11" s="84">
        <f>'COGS &amp; SGA'!AZ18</f>
        <v/>
      </c>
      <c r="BA11" s="84">
        <f>'COGS &amp; SGA'!BA18</f>
        <v/>
      </c>
      <c r="BB11" s="84">
        <f>'COGS &amp; SGA'!BB18</f>
        <v/>
      </c>
      <c r="BC11" s="84">
        <f>'COGS &amp; SGA'!BC18</f>
        <v/>
      </c>
      <c r="BD11" s="84">
        <f>'COGS &amp; SGA'!BD18</f>
        <v/>
      </c>
      <c r="BE11" s="84">
        <f>'COGS &amp; SGA'!BE18</f>
        <v/>
      </c>
      <c r="BF11" s="84">
        <f>'COGS &amp; SGA'!BF18</f>
        <v/>
      </c>
      <c r="BG11" s="84">
        <f>'COGS &amp; SGA'!BG18</f>
        <v/>
      </c>
      <c r="BH11" s="84">
        <f>'COGS &amp; SGA'!BH18</f>
        <v/>
      </c>
      <c r="BI11" s="84">
        <f>'COGS &amp; SGA'!BI18</f>
        <v/>
      </c>
      <c r="BJ11" s="84">
        <f>'COGS &amp; SGA'!BJ18</f>
        <v/>
      </c>
      <c r="BK11" s="84">
        <f>'COGS &amp; SGA'!BK18</f>
        <v/>
      </c>
      <c r="BL11" s="84">
        <f>'COGS &amp; SGA'!BL18</f>
        <v/>
      </c>
      <c r="BN11" s="84">
        <f>'COGS &amp; SGA'!BN18</f>
        <v/>
      </c>
      <c r="BO11" s="84">
        <f>'COGS &amp; SGA'!BO18</f>
        <v/>
      </c>
      <c r="BP11" s="84">
        <f>'COGS &amp; SGA'!BP18</f>
        <v/>
      </c>
      <c r="BQ11" s="84">
        <f>'COGS &amp; SGA'!BQ18</f>
        <v/>
      </c>
      <c r="BR11" s="84">
        <f>'COGS &amp; SGA'!BR18</f>
        <v/>
      </c>
    </row>
    <row r="12">
      <c r="A12" s="105" t="inlineStr">
        <is>
          <t xml:space="preserve">  Gross Margin %</t>
        </is>
      </c>
      <c r="B12" s="106" t="inlineStr">
        <is>
          <t>%</t>
        </is>
      </c>
      <c r="C12" s="48" t="inlineStr">
        <is>
          <t>—</t>
        </is>
      </c>
      <c r="D12" s="45" t="inlineStr"/>
      <c r="E12" s="83">
        <f>IFERROR(E11/E7,0)</f>
        <v/>
      </c>
      <c r="F12" s="83">
        <f>IFERROR(F11/F7,0)</f>
        <v/>
      </c>
      <c r="G12" s="83">
        <f>IFERROR(G11/G7,0)</f>
        <v/>
      </c>
      <c r="H12" s="83">
        <f>IFERROR(H11/H7,0)</f>
        <v/>
      </c>
      <c r="I12" s="83">
        <f>IFERROR(I11/I7,0)</f>
        <v/>
      </c>
      <c r="J12" s="83">
        <f>IFERROR(J11/J7,0)</f>
        <v/>
      </c>
      <c r="K12" s="83">
        <f>IFERROR(K11/K7,0)</f>
        <v/>
      </c>
      <c r="L12" s="83">
        <f>IFERROR(L11/L7,0)</f>
        <v/>
      </c>
      <c r="M12" s="83">
        <f>IFERROR(M11/M7,0)</f>
        <v/>
      </c>
      <c r="N12" s="83">
        <f>IFERROR(N11/N7,0)</f>
        <v/>
      </c>
      <c r="O12" s="83">
        <f>IFERROR(O11/O7,0)</f>
        <v/>
      </c>
      <c r="P12" s="83">
        <f>IFERROR(P11/P7,0)</f>
        <v/>
      </c>
      <c r="Q12" s="83">
        <f>IFERROR(Q11/Q7,0)</f>
        <v/>
      </c>
      <c r="R12" s="83">
        <f>IFERROR(R11/R7,0)</f>
        <v/>
      </c>
      <c r="S12" s="83">
        <f>IFERROR(S11/S7,0)</f>
        <v/>
      </c>
      <c r="T12" s="83">
        <f>IFERROR(T11/T7,0)</f>
        <v/>
      </c>
      <c r="U12" s="83">
        <f>IFERROR(U11/U7,0)</f>
        <v/>
      </c>
      <c r="V12" s="83">
        <f>IFERROR(V11/V7,0)</f>
        <v/>
      </c>
      <c r="W12" s="83">
        <f>IFERROR(W11/W7,0)</f>
        <v/>
      </c>
      <c r="X12" s="83">
        <f>IFERROR(X11/X7,0)</f>
        <v/>
      </c>
      <c r="Y12" s="83">
        <f>IFERROR(Y11/Y7,0)</f>
        <v/>
      </c>
      <c r="Z12" s="83">
        <f>IFERROR(Z11/Z7,0)</f>
        <v/>
      </c>
      <c r="AA12" s="83">
        <f>IFERROR(AA11/AA7,0)</f>
        <v/>
      </c>
      <c r="AB12" s="83">
        <f>IFERROR(AB11/AB7,0)</f>
        <v/>
      </c>
      <c r="AC12" s="83">
        <f>IFERROR(AC11/AC7,0)</f>
        <v/>
      </c>
      <c r="AD12" s="83">
        <f>IFERROR(AD11/AD7,0)</f>
        <v/>
      </c>
      <c r="AE12" s="83">
        <f>IFERROR(AE11/AE7,0)</f>
        <v/>
      </c>
      <c r="AF12" s="83">
        <f>IFERROR(AF11/AF7,0)</f>
        <v/>
      </c>
      <c r="AG12" s="83">
        <f>IFERROR(AG11/AG7,0)</f>
        <v/>
      </c>
      <c r="AH12" s="83">
        <f>IFERROR(AH11/AH7,0)</f>
        <v/>
      </c>
      <c r="AI12" s="83">
        <f>IFERROR(AI11/AI7,0)</f>
        <v/>
      </c>
      <c r="AJ12" s="83">
        <f>IFERROR(AJ11/AJ7,0)</f>
        <v/>
      </c>
      <c r="AK12" s="83">
        <f>IFERROR(AK11/AK7,0)</f>
        <v/>
      </c>
      <c r="AL12" s="83">
        <f>IFERROR(AL11/AL7,0)</f>
        <v/>
      </c>
      <c r="AM12" s="83">
        <f>IFERROR(AM11/AM7,0)</f>
        <v/>
      </c>
      <c r="AN12" s="83">
        <f>IFERROR(AN11/AN7,0)</f>
        <v/>
      </c>
      <c r="AO12" s="83">
        <f>IFERROR(AO11/AO7,0)</f>
        <v/>
      </c>
      <c r="AP12" s="83">
        <f>IFERROR(AP11/AP7,0)</f>
        <v/>
      </c>
      <c r="AQ12" s="83">
        <f>IFERROR(AQ11/AQ7,0)</f>
        <v/>
      </c>
      <c r="AR12" s="83">
        <f>IFERROR(AR11/AR7,0)</f>
        <v/>
      </c>
      <c r="AS12" s="83">
        <f>IFERROR(AS11/AS7,0)</f>
        <v/>
      </c>
      <c r="AT12" s="83">
        <f>IFERROR(AT11/AT7,0)</f>
        <v/>
      </c>
      <c r="AU12" s="83">
        <f>IFERROR(AU11/AU7,0)</f>
        <v/>
      </c>
      <c r="AV12" s="83">
        <f>IFERROR(AV11/AV7,0)</f>
        <v/>
      </c>
      <c r="AW12" s="83">
        <f>IFERROR(AW11/AW7,0)</f>
        <v/>
      </c>
      <c r="AX12" s="83">
        <f>IFERROR(AX11/AX7,0)</f>
        <v/>
      </c>
      <c r="AY12" s="83">
        <f>IFERROR(AY11/AY7,0)</f>
        <v/>
      </c>
      <c r="AZ12" s="83">
        <f>IFERROR(AZ11/AZ7,0)</f>
        <v/>
      </c>
      <c r="BA12" s="83">
        <f>IFERROR(BA11/BA7,0)</f>
        <v/>
      </c>
      <c r="BB12" s="83">
        <f>IFERROR(BB11/BB7,0)</f>
        <v/>
      </c>
      <c r="BC12" s="83">
        <f>IFERROR(BC11/BC7,0)</f>
        <v/>
      </c>
      <c r="BD12" s="83">
        <f>IFERROR(BD11/BD7,0)</f>
        <v/>
      </c>
      <c r="BE12" s="83">
        <f>IFERROR(BE11/BE7,0)</f>
        <v/>
      </c>
      <c r="BF12" s="83">
        <f>IFERROR(BF11/BF7,0)</f>
        <v/>
      </c>
      <c r="BG12" s="83">
        <f>IFERROR(BG11/BG7,0)</f>
        <v/>
      </c>
      <c r="BH12" s="83">
        <f>IFERROR(BH11/BH7,0)</f>
        <v/>
      </c>
      <c r="BI12" s="83">
        <f>IFERROR(BI11/BI7,0)</f>
        <v/>
      </c>
      <c r="BJ12" s="83">
        <f>IFERROR(BJ11/BJ7,0)</f>
        <v/>
      </c>
      <c r="BK12" s="83">
        <f>IFERROR(BK11/BK7,0)</f>
        <v/>
      </c>
      <c r="BL12" s="83">
        <f>IFERROR(BL11/BL7,0)</f>
        <v/>
      </c>
      <c r="BN12" s="83">
        <f>IFERROR(BN11/BN7,0)</f>
        <v/>
      </c>
      <c r="BO12" s="83">
        <f>IFERROR(BO11/BO7,0)</f>
        <v/>
      </c>
      <c r="BP12" s="83">
        <f>IFERROR(BP11/BP7,0)</f>
        <v/>
      </c>
      <c r="BQ12" s="83">
        <f>IFERROR(BQ11/BQ7,0)</f>
        <v/>
      </c>
      <c r="BR12" s="83">
        <f>IFERROR(BR11/BR7,0)</f>
        <v/>
      </c>
    </row>
    <row r="13"/>
    <row r="14" ht="22" customHeight="1">
      <c r="A14" s="62" t="inlineStr">
        <is>
          <t xml:space="preserve">  ОПЕРАЦИОННЫЕ РАСХОДЫ</t>
        </is>
      </c>
    </row>
    <row r="15">
      <c r="A15" s="93" t="inlineStr">
        <is>
          <t>− SG&amp;A (коммерч. и адм.)</t>
        </is>
      </c>
      <c r="B15" s="97" t="inlineStr">
        <is>
          <t>млн ₽</t>
        </is>
      </c>
      <c r="C15" s="53">
        <f>SUM(BN15:BR15)</f>
        <v/>
      </c>
      <c r="D15" s="45" t="inlineStr"/>
      <c r="E15" s="85">
        <f>'COGS &amp; SGA'!E29</f>
        <v/>
      </c>
      <c r="F15" s="85">
        <f>'COGS &amp; SGA'!F29</f>
        <v/>
      </c>
      <c r="G15" s="85">
        <f>'COGS &amp; SGA'!G29</f>
        <v/>
      </c>
      <c r="H15" s="85">
        <f>'COGS &amp; SGA'!H29</f>
        <v/>
      </c>
      <c r="I15" s="85">
        <f>'COGS &amp; SGA'!I29</f>
        <v/>
      </c>
      <c r="J15" s="85">
        <f>'COGS &amp; SGA'!J29</f>
        <v/>
      </c>
      <c r="K15" s="85">
        <f>'COGS &amp; SGA'!K29</f>
        <v/>
      </c>
      <c r="L15" s="85">
        <f>'COGS &amp; SGA'!L29</f>
        <v/>
      </c>
      <c r="M15" s="85">
        <f>'COGS &amp; SGA'!M29</f>
        <v/>
      </c>
      <c r="N15" s="85">
        <f>'COGS &amp; SGA'!N29</f>
        <v/>
      </c>
      <c r="O15" s="85">
        <f>'COGS &amp; SGA'!O29</f>
        <v/>
      </c>
      <c r="P15" s="85">
        <f>'COGS &amp; SGA'!P29</f>
        <v/>
      </c>
      <c r="Q15" s="85">
        <f>'COGS &amp; SGA'!Q29</f>
        <v/>
      </c>
      <c r="R15" s="85">
        <f>'COGS &amp; SGA'!R29</f>
        <v/>
      </c>
      <c r="S15" s="85">
        <f>'COGS &amp; SGA'!S29</f>
        <v/>
      </c>
      <c r="T15" s="85">
        <f>'COGS &amp; SGA'!T29</f>
        <v/>
      </c>
      <c r="U15" s="85">
        <f>'COGS &amp; SGA'!U29</f>
        <v/>
      </c>
      <c r="V15" s="85">
        <f>'COGS &amp; SGA'!V29</f>
        <v/>
      </c>
      <c r="W15" s="85">
        <f>'COGS &amp; SGA'!W29</f>
        <v/>
      </c>
      <c r="X15" s="85">
        <f>'COGS &amp; SGA'!X29</f>
        <v/>
      </c>
      <c r="Y15" s="85">
        <f>'COGS &amp; SGA'!Y29</f>
        <v/>
      </c>
      <c r="Z15" s="85">
        <f>'COGS &amp; SGA'!Z29</f>
        <v/>
      </c>
      <c r="AA15" s="85">
        <f>'COGS &amp; SGA'!AA29</f>
        <v/>
      </c>
      <c r="AB15" s="85">
        <f>'COGS &amp; SGA'!AB29</f>
        <v/>
      </c>
      <c r="AC15" s="85">
        <f>'COGS &amp; SGA'!AC29</f>
        <v/>
      </c>
      <c r="AD15" s="85">
        <f>'COGS &amp; SGA'!AD29</f>
        <v/>
      </c>
      <c r="AE15" s="85">
        <f>'COGS &amp; SGA'!AE29</f>
        <v/>
      </c>
      <c r="AF15" s="85">
        <f>'COGS &amp; SGA'!AF29</f>
        <v/>
      </c>
      <c r="AG15" s="85">
        <f>'COGS &amp; SGA'!AG29</f>
        <v/>
      </c>
      <c r="AH15" s="85">
        <f>'COGS &amp; SGA'!AH29</f>
        <v/>
      </c>
      <c r="AI15" s="85">
        <f>'COGS &amp; SGA'!AI29</f>
        <v/>
      </c>
      <c r="AJ15" s="85">
        <f>'COGS &amp; SGA'!AJ29</f>
        <v/>
      </c>
      <c r="AK15" s="85">
        <f>'COGS &amp; SGA'!AK29</f>
        <v/>
      </c>
      <c r="AL15" s="85">
        <f>'COGS &amp; SGA'!AL29</f>
        <v/>
      </c>
      <c r="AM15" s="85">
        <f>'COGS &amp; SGA'!AM29</f>
        <v/>
      </c>
      <c r="AN15" s="85">
        <f>'COGS &amp; SGA'!AN29</f>
        <v/>
      </c>
      <c r="AO15" s="85">
        <f>'COGS &amp; SGA'!AO29</f>
        <v/>
      </c>
      <c r="AP15" s="85">
        <f>'COGS &amp; SGA'!AP29</f>
        <v/>
      </c>
      <c r="AQ15" s="85">
        <f>'COGS &amp; SGA'!AQ29</f>
        <v/>
      </c>
      <c r="AR15" s="85">
        <f>'COGS &amp; SGA'!AR29</f>
        <v/>
      </c>
      <c r="AS15" s="85">
        <f>'COGS &amp; SGA'!AS29</f>
        <v/>
      </c>
      <c r="AT15" s="85">
        <f>'COGS &amp; SGA'!AT29</f>
        <v/>
      </c>
      <c r="AU15" s="85">
        <f>'COGS &amp; SGA'!AU29</f>
        <v/>
      </c>
      <c r="AV15" s="85">
        <f>'COGS &amp; SGA'!AV29</f>
        <v/>
      </c>
      <c r="AW15" s="85">
        <f>'COGS &amp; SGA'!AW29</f>
        <v/>
      </c>
      <c r="AX15" s="85">
        <f>'COGS &amp; SGA'!AX29</f>
        <v/>
      </c>
      <c r="AY15" s="85">
        <f>'COGS &amp; SGA'!AY29</f>
        <v/>
      </c>
      <c r="AZ15" s="85">
        <f>'COGS &amp; SGA'!AZ29</f>
        <v/>
      </c>
      <c r="BA15" s="85">
        <f>'COGS &amp; SGA'!BA29</f>
        <v/>
      </c>
      <c r="BB15" s="85">
        <f>'COGS &amp; SGA'!BB29</f>
        <v/>
      </c>
      <c r="BC15" s="85">
        <f>'COGS &amp; SGA'!BC29</f>
        <v/>
      </c>
      <c r="BD15" s="85">
        <f>'COGS &amp; SGA'!BD29</f>
        <v/>
      </c>
      <c r="BE15" s="85">
        <f>'COGS &amp; SGA'!BE29</f>
        <v/>
      </c>
      <c r="BF15" s="85">
        <f>'COGS &amp; SGA'!BF29</f>
        <v/>
      </c>
      <c r="BG15" s="85">
        <f>'COGS &amp; SGA'!BG29</f>
        <v/>
      </c>
      <c r="BH15" s="85">
        <f>'COGS &amp; SGA'!BH29</f>
        <v/>
      </c>
      <c r="BI15" s="85">
        <f>'COGS &amp; SGA'!BI29</f>
        <v/>
      </c>
      <c r="BJ15" s="85">
        <f>'COGS &amp; SGA'!BJ29</f>
        <v/>
      </c>
      <c r="BK15" s="85">
        <f>'COGS &amp; SGA'!BK29</f>
        <v/>
      </c>
      <c r="BL15" s="85">
        <f>'COGS &amp; SGA'!BL29</f>
        <v/>
      </c>
      <c r="BN15" s="85">
        <f>'COGS &amp; SGA'!BN29</f>
        <v/>
      </c>
      <c r="BO15" s="85">
        <f>'COGS &amp; SGA'!BO29</f>
        <v/>
      </c>
      <c r="BP15" s="85">
        <f>'COGS &amp; SGA'!BP29</f>
        <v/>
      </c>
      <c r="BQ15" s="85">
        <f>'COGS &amp; SGA'!BQ29</f>
        <v/>
      </c>
      <c r="BR15" s="85">
        <f>'COGS &amp; SGA'!BR29</f>
        <v/>
      </c>
    </row>
    <row r="16">
      <c r="A16" s="105" t="inlineStr">
        <is>
          <t xml:space="preserve">  SG&amp;A %</t>
        </is>
      </c>
      <c r="B16" s="106" t="inlineStr">
        <is>
          <t>%</t>
        </is>
      </c>
      <c r="C16" s="48" t="inlineStr">
        <is>
          <t>—</t>
        </is>
      </c>
      <c r="D16" s="45" t="inlineStr"/>
      <c r="E16" s="83">
        <f>IFERROR(E15/E7,0)</f>
        <v/>
      </c>
      <c r="F16" s="83">
        <f>IFERROR(F15/F7,0)</f>
        <v/>
      </c>
      <c r="G16" s="83">
        <f>IFERROR(G15/G7,0)</f>
        <v/>
      </c>
      <c r="H16" s="83">
        <f>IFERROR(H15/H7,0)</f>
        <v/>
      </c>
      <c r="I16" s="83">
        <f>IFERROR(I15/I7,0)</f>
        <v/>
      </c>
      <c r="J16" s="83">
        <f>IFERROR(J15/J7,0)</f>
        <v/>
      </c>
      <c r="K16" s="83">
        <f>IFERROR(K15/K7,0)</f>
        <v/>
      </c>
      <c r="L16" s="83">
        <f>IFERROR(L15/L7,0)</f>
        <v/>
      </c>
      <c r="M16" s="83">
        <f>IFERROR(M15/M7,0)</f>
        <v/>
      </c>
      <c r="N16" s="83">
        <f>IFERROR(N15/N7,0)</f>
        <v/>
      </c>
      <c r="O16" s="83">
        <f>IFERROR(O15/O7,0)</f>
        <v/>
      </c>
      <c r="P16" s="83">
        <f>IFERROR(P15/P7,0)</f>
        <v/>
      </c>
      <c r="Q16" s="83">
        <f>IFERROR(Q15/Q7,0)</f>
        <v/>
      </c>
      <c r="R16" s="83">
        <f>IFERROR(R15/R7,0)</f>
        <v/>
      </c>
      <c r="S16" s="83">
        <f>IFERROR(S15/S7,0)</f>
        <v/>
      </c>
      <c r="T16" s="83">
        <f>IFERROR(T15/T7,0)</f>
        <v/>
      </c>
      <c r="U16" s="83">
        <f>IFERROR(U15/U7,0)</f>
        <v/>
      </c>
      <c r="V16" s="83">
        <f>IFERROR(V15/V7,0)</f>
        <v/>
      </c>
      <c r="W16" s="83">
        <f>IFERROR(W15/W7,0)</f>
        <v/>
      </c>
      <c r="X16" s="83">
        <f>IFERROR(X15/X7,0)</f>
        <v/>
      </c>
      <c r="Y16" s="83">
        <f>IFERROR(Y15/Y7,0)</f>
        <v/>
      </c>
      <c r="Z16" s="83">
        <f>IFERROR(Z15/Z7,0)</f>
        <v/>
      </c>
      <c r="AA16" s="83">
        <f>IFERROR(AA15/AA7,0)</f>
        <v/>
      </c>
      <c r="AB16" s="83">
        <f>IFERROR(AB15/AB7,0)</f>
        <v/>
      </c>
      <c r="AC16" s="83">
        <f>IFERROR(AC15/AC7,0)</f>
        <v/>
      </c>
      <c r="AD16" s="83">
        <f>IFERROR(AD15/AD7,0)</f>
        <v/>
      </c>
      <c r="AE16" s="83">
        <f>IFERROR(AE15/AE7,0)</f>
        <v/>
      </c>
      <c r="AF16" s="83">
        <f>IFERROR(AF15/AF7,0)</f>
        <v/>
      </c>
      <c r="AG16" s="83">
        <f>IFERROR(AG15/AG7,0)</f>
        <v/>
      </c>
      <c r="AH16" s="83">
        <f>IFERROR(AH15/AH7,0)</f>
        <v/>
      </c>
      <c r="AI16" s="83">
        <f>IFERROR(AI15/AI7,0)</f>
        <v/>
      </c>
      <c r="AJ16" s="83">
        <f>IFERROR(AJ15/AJ7,0)</f>
        <v/>
      </c>
      <c r="AK16" s="83">
        <f>IFERROR(AK15/AK7,0)</f>
        <v/>
      </c>
      <c r="AL16" s="83">
        <f>IFERROR(AL15/AL7,0)</f>
        <v/>
      </c>
      <c r="AM16" s="83">
        <f>IFERROR(AM15/AM7,0)</f>
        <v/>
      </c>
      <c r="AN16" s="83">
        <f>IFERROR(AN15/AN7,0)</f>
        <v/>
      </c>
      <c r="AO16" s="83">
        <f>IFERROR(AO15/AO7,0)</f>
        <v/>
      </c>
      <c r="AP16" s="83">
        <f>IFERROR(AP15/AP7,0)</f>
        <v/>
      </c>
      <c r="AQ16" s="83">
        <f>IFERROR(AQ15/AQ7,0)</f>
        <v/>
      </c>
      <c r="AR16" s="83">
        <f>IFERROR(AR15/AR7,0)</f>
        <v/>
      </c>
      <c r="AS16" s="83">
        <f>IFERROR(AS15/AS7,0)</f>
        <v/>
      </c>
      <c r="AT16" s="83">
        <f>IFERROR(AT15/AT7,0)</f>
        <v/>
      </c>
      <c r="AU16" s="83">
        <f>IFERROR(AU15/AU7,0)</f>
        <v/>
      </c>
      <c r="AV16" s="83">
        <f>IFERROR(AV15/AV7,0)</f>
        <v/>
      </c>
      <c r="AW16" s="83">
        <f>IFERROR(AW15/AW7,0)</f>
        <v/>
      </c>
      <c r="AX16" s="83">
        <f>IFERROR(AX15/AX7,0)</f>
        <v/>
      </c>
      <c r="AY16" s="83">
        <f>IFERROR(AY15/AY7,0)</f>
        <v/>
      </c>
      <c r="AZ16" s="83">
        <f>IFERROR(AZ15/AZ7,0)</f>
        <v/>
      </c>
      <c r="BA16" s="83">
        <f>IFERROR(BA15/BA7,0)</f>
        <v/>
      </c>
      <c r="BB16" s="83">
        <f>IFERROR(BB15/BB7,0)</f>
        <v/>
      </c>
      <c r="BC16" s="83">
        <f>IFERROR(BC15/BC7,0)</f>
        <v/>
      </c>
      <c r="BD16" s="83">
        <f>IFERROR(BD15/BD7,0)</f>
        <v/>
      </c>
      <c r="BE16" s="83">
        <f>IFERROR(BE15/BE7,0)</f>
        <v/>
      </c>
      <c r="BF16" s="83">
        <f>IFERROR(BF15/BF7,0)</f>
        <v/>
      </c>
      <c r="BG16" s="83">
        <f>IFERROR(BG15/BG7,0)</f>
        <v/>
      </c>
      <c r="BH16" s="83">
        <f>IFERROR(BH15/BH7,0)</f>
        <v/>
      </c>
      <c r="BI16" s="83">
        <f>IFERROR(BI15/BI7,0)</f>
        <v/>
      </c>
      <c r="BJ16" s="83">
        <f>IFERROR(BJ15/BJ7,0)</f>
        <v/>
      </c>
      <c r="BK16" s="83">
        <f>IFERROR(BK15/BK7,0)</f>
        <v/>
      </c>
      <c r="BL16" s="83">
        <f>IFERROR(BL15/BL7,0)</f>
        <v/>
      </c>
      <c r="BN16" s="83">
        <f>IFERROR(BN15/BN7,0)</f>
        <v/>
      </c>
      <c r="BO16" s="83">
        <f>IFERROR(BO15/BO7,0)</f>
        <v/>
      </c>
      <c r="BP16" s="83">
        <f>IFERROR(BP15/BP7,0)</f>
        <v/>
      </c>
      <c r="BQ16" s="83">
        <f>IFERROR(BQ15/BQ7,0)</f>
        <v/>
      </c>
      <c r="BR16" s="83">
        <f>IFERROR(BR15/BR7,0)</f>
        <v/>
      </c>
    </row>
    <row r="17">
      <c r="A17" s="51" t="inlineStr">
        <is>
          <t xml:space="preserve"> = EBITDA</t>
        </is>
      </c>
      <c r="B17" s="96" t="inlineStr">
        <is>
          <t>млн ₽</t>
        </is>
      </c>
      <c r="C17" s="67">
        <f>SUM(BN17:BR17)</f>
        <v/>
      </c>
      <c r="D17" s="45" t="inlineStr"/>
      <c r="E17" s="84">
        <f>'COGS &amp; SGA'!E32</f>
        <v/>
      </c>
      <c r="F17" s="84">
        <f>'COGS &amp; SGA'!F32</f>
        <v/>
      </c>
      <c r="G17" s="84">
        <f>'COGS &amp; SGA'!G32</f>
        <v/>
      </c>
      <c r="H17" s="84">
        <f>'COGS &amp; SGA'!H32</f>
        <v/>
      </c>
      <c r="I17" s="84">
        <f>'COGS &amp; SGA'!I32</f>
        <v/>
      </c>
      <c r="J17" s="84">
        <f>'COGS &amp; SGA'!J32</f>
        <v/>
      </c>
      <c r="K17" s="84">
        <f>'COGS &amp; SGA'!K32</f>
        <v/>
      </c>
      <c r="L17" s="84">
        <f>'COGS &amp; SGA'!L32</f>
        <v/>
      </c>
      <c r="M17" s="84">
        <f>'COGS &amp; SGA'!M32</f>
        <v/>
      </c>
      <c r="N17" s="84">
        <f>'COGS &amp; SGA'!N32</f>
        <v/>
      </c>
      <c r="O17" s="84">
        <f>'COGS &amp; SGA'!O32</f>
        <v/>
      </c>
      <c r="P17" s="84">
        <f>'COGS &amp; SGA'!P32</f>
        <v/>
      </c>
      <c r="Q17" s="84">
        <f>'COGS &amp; SGA'!Q32</f>
        <v/>
      </c>
      <c r="R17" s="84">
        <f>'COGS &amp; SGA'!R32</f>
        <v/>
      </c>
      <c r="S17" s="84">
        <f>'COGS &amp; SGA'!S32</f>
        <v/>
      </c>
      <c r="T17" s="84">
        <f>'COGS &amp; SGA'!T32</f>
        <v/>
      </c>
      <c r="U17" s="84">
        <f>'COGS &amp; SGA'!U32</f>
        <v/>
      </c>
      <c r="V17" s="84">
        <f>'COGS &amp; SGA'!V32</f>
        <v/>
      </c>
      <c r="W17" s="84">
        <f>'COGS &amp; SGA'!W32</f>
        <v/>
      </c>
      <c r="X17" s="84">
        <f>'COGS &amp; SGA'!X32</f>
        <v/>
      </c>
      <c r="Y17" s="84">
        <f>'COGS &amp; SGA'!Y32</f>
        <v/>
      </c>
      <c r="Z17" s="84">
        <f>'COGS &amp; SGA'!Z32</f>
        <v/>
      </c>
      <c r="AA17" s="84">
        <f>'COGS &amp; SGA'!AA32</f>
        <v/>
      </c>
      <c r="AB17" s="84">
        <f>'COGS &amp; SGA'!AB32</f>
        <v/>
      </c>
      <c r="AC17" s="84">
        <f>'COGS &amp; SGA'!AC32</f>
        <v/>
      </c>
      <c r="AD17" s="84">
        <f>'COGS &amp; SGA'!AD32</f>
        <v/>
      </c>
      <c r="AE17" s="84">
        <f>'COGS &amp; SGA'!AE32</f>
        <v/>
      </c>
      <c r="AF17" s="84">
        <f>'COGS &amp; SGA'!AF32</f>
        <v/>
      </c>
      <c r="AG17" s="84">
        <f>'COGS &amp; SGA'!AG32</f>
        <v/>
      </c>
      <c r="AH17" s="84">
        <f>'COGS &amp; SGA'!AH32</f>
        <v/>
      </c>
      <c r="AI17" s="84">
        <f>'COGS &amp; SGA'!AI32</f>
        <v/>
      </c>
      <c r="AJ17" s="84">
        <f>'COGS &amp; SGA'!AJ32</f>
        <v/>
      </c>
      <c r="AK17" s="84">
        <f>'COGS &amp; SGA'!AK32</f>
        <v/>
      </c>
      <c r="AL17" s="84">
        <f>'COGS &amp; SGA'!AL32</f>
        <v/>
      </c>
      <c r="AM17" s="84">
        <f>'COGS &amp; SGA'!AM32</f>
        <v/>
      </c>
      <c r="AN17" s="84">
        <f>'COGS &amp; SGA'!AN32</f>
        <v/>
      </c>
      <c r="AO17" s="84">
        <f>'COGS &amp; SGA'!AO32</f>
        <v/>
      </c>
      <c r="AP17" s="84">
        <f>'COGS &amp; SGA'!AP32</f>
        <v/>
      </c>
      <c r="AQ17" s="84">
        <f>'COGS &amp; SGA'!AQ32</f>
        <v/>
      </c>
      <c r="AR17" s="84">
        <f>'COGS &amp; SGA'!AR32</f>
        <v/>
      </c>
      <c r="AS17" s="84">
        <f>'COGS &amp; SGA'!AS32</f>
        <v/>
      </c>
      <c r="AT17" s="84">
        <f>'COGS &amp; SGA'!AT32</f>
        <v/>
      </c>
      <c r="AU17" s="84">
        <f>'COGS &amp; SGA'!AU32</f>
        <v/>
      </c>
      <c r="AV17" s="84">
        <f>'COGS &amp; SGA'!AV32</f>
        <v/>
      </c>
      <c r="AW17" s="84">
        <f>'COGS &amp; SGA'!AW32</f>
        <v/>
      </c>
      <c r="AX17" s="84">
        <f>'COGS &amp; SGA'!AX32</f>
        <v/>
      </c>
      <c r="AY17" s="84">
        <f>'COGS &amp; SGA'!AY32</f>
        <v/>
      </c>
      <c r="AZ17" s="84">
        <f>'COGS &amp; SGA'!AZ32</f>
        <v/>
      </c>
      <c r="BA17" s="84">
        <f>'COGS &amp; SGA'!BA32</f>
        <v/>
      </c>
      <c r="BB17" s="84">
        <f>'COGS &amp; SGA'!BB32</f>
        <v/>
      </c>
      <c r="BC17" s="84">
        <f>'COGS &amp; SGA'!BC32</f>
        <v/>
      </c>
      <c r="BD17" s="84">
        <f>'COGS &amp; SGA'!BD32</f>
        <v/>
      </c>
      <c r="BE17" s="84">
        <f>'COGS &amp; SGA'!BE32</f>
        <v/>
      </c>
      <c r="BF17" s="84">
        <f>'COGS &amp; SGA'!BF32</f>
        <v/>
      </c>
      <c r="BG17" s="84">
        <f>'COGS &amp; SGA'!BG32</f>
        <v/>
      </c>
      <c r="BH17" s="84">
        <f>'COGS &amp; SGA'!BH32</f>
        <v/>
      </c>
      <c r="BI17" s="84">
        <f>'COGS &amp; SGA'!BI32</f>
        <v/>
      </c>
      <c r="BJ17" s="84">
        <f>'COGS &amp; SGA'!BJ32</f>
        <v/>
      </c>
      <c r="BK17" s="84">
        <f>'COGS &amp; SGA'!BK32</f>
        <v/>
      </c>
      <c r="BL17" s="84">
        <f>'COGS &amp; SGA'!BL32</f>
        <v/>
      </c>
      <c r="BN17" s="84">
        <f>'COGS &amp; SGA'!BN32</f>
        <v/>
      </c>
      <c r="BO17" s="84">
        <f>'COGS &amp; SGA'!BO32</f>
        <v/>
      </c>
      <c r="BP17" s="84">
        <f>'COGS &amp; SGA'!BP32</f>
        <v/>
      </c>
      <c r="BQ17" s="84">
        <f>'COGS &amp; SGA'!BQ32</f>
        <v/>
      </c>
      <c r="BR17" s="84">
        <f>'COGS &amp; SGA'!BR32</f>
        <v/>
      </c>
    </row>
    <row r="18">
      <c r="A18" s="105" t="inlineStr">
        <is>
          <t xml:space="preserve">  EBITDA Margin %</t>
        </is>
      </c>
      <c r="B18" s="106" t="inlineStr">
        <is>
          <t>%</t>
        </is>
      </c>
      <c r="C18" s="48" t="inlineStr">
        <is>
          <t>—</t>
        </is>
      </c>
      <c r="D18" s="45" t="inlineStr"/>
      <c r="E18" s="83">
        <f>IFERROR(E17/E7,0)</f>
        <v/>
      </c>
      <c r="F18" s="83">
        <f>IFERROR(F17/F7,0)</f>
        <v/>
      </c>
      <c r="G18" s="83">
        <f>IFERROR(G17/G7,0)</f>
        <v/>
      </c>
      <c r="H18" s="83">
        <f>IFERROR(H17/H7,0)</f>
        <v/>
      </c>
      <c r="I18" s="83">
        <f>IFERROR(I17/I7,0)</f>
        <v/>
      </c>
      <c r="J18" s="83">
        <f>IFERROR(J17/J7,0)</f>
        <v/>
      </c>
      <c r="K18" s="83">
        <f>IFERROR(K17/K7,0)</f>
        <v/>
      </c>
      <c r="L18" s="83">
        <f>IFERROR(L17/L7,0)</f>
        <v/>
      </c>
      <c r="M18" s="83">
        <f>IFERROR(M17/M7,0)</f>
        <v/>
      </c>
      <c r="N18" s="83">
        <f>IFERROR(N17/N7,0)</f>
        <v/>
      </c>
      <c r="O18" s="83">
        <f>IFERROR(O17/O7,0)</f>
        <v/>
      </c>
      <c r="P18" s="83">
        <f>IFERROR(P17/P7,0)</f>
        <v/>
      </c>
      <c r="Q18" s="83">
        <f>IFERROR(Q17/Q7,0)</f>
        <v/>
      </c>
      <c r="R18" s="83">
        <f>IFERROR(R17/R7,0)</f>
        <v/>
      </c>
      <c r="S18" s="83">
        <f>IFERROR(S17/S7,0)</f>
        <v/>
      </c>
      <c r="T18" s="83">
        <f>IFERROR(T17/T7,0)</f>
        <v/>
      </c>
      <c r="U18" s="83">
        <f>IFERROR(U17/U7,0)</f>
        <v/>
      </c>
      <c r="V18" s="83">
        <f>IFERROR(V17/V7,0)</f>
        <v/>
      </c>
      <c r="W18" s="83">
        <f>IFERROR(W17/W7,0)</f>
        <v/>
      </c>
      <c r="X18" s="83">
        <f>IFERROR(X17/X7,0)</f>
        <v/>
      </c>
      <c r="Y18" s="83">
        <f>IFERROR(Y17/Y7,0)</f>
        <v/>
      </c>
      <c r="Z18" s="83">
        <f>IFERROR(Z17/Z7,0)</f>
        <v/>
      </c>
      <c r="AA18" s="83">
        <f>IFERROR(AA17/AA7,0)</f>
        <v/>
      </c>
      <c r="AB18" s="83">
        <f>IFERROR(AB17/AB7,0)</f>
        <v/>
      </c>
      <c r="AC18" s="83">
        <f>IFERROR(AC17/AC7,0)</f>
        <v/>
      </c>
      <c r="AD18" s="83">
        <f>IFERROR(AD17/AD7,0)</f>
        <v/>
      </c>
      <c r="AE18" s="83">
        <f>IFERROR(AE17/AE7,0)</f>
        <v/>
      </c>
      <c r="AF18" s="83">
        <f>IFERROR(AF17/AF7,0)</f>
        <v/>
      </c>
      <c r="AG18" s="83">
        <f>IFERROR(AG17/AG7,0)</f>
        <v/>
      </c>
      <c r="AH18" s="83">
        <f>IFERROR(AH17/AH7,0)</f>
        <v/>
      </c>
      <c r="AI18" s="83">
        <f>IFERROR(AI17/AI7,0)</f>
        <v/>
      </c>
      <c r="AJ18" s="83">
        <f>IFERROR(AJ17/AJ7,0)</f>
        <v/>
      </c>
      <c r="AK18" s="83">
        <f>IFERROR(AK17/AK7,0)</f>
        <v/>
      </c>
      <c r="AL18" s="83">
        <f>IFERROR(AL17/AL7,0)</f>
        <v/>
      </c>
      <c r="AM18" s="83">
        <f>IFERROR(AM17/AM7,0)</f>
        <v/>
      </c>
      <c r="AN18" s="83">
        <f>IFERROR(AN17/AN7,0)</f>
        <v/>
      </c>
      <c r="AO18" s="83">
        <f>IFERROR(AO17/AO7,0)</f>
        <v/>
      </c>
      <c r="AP18" s="83">
        <f>IFERROR(AP17/AP7,0)</f>
        <v/>
      </c>
      <c r="AQ18" s="83">
        <f>IFERROR(AQ17/AQ7,0)</f>
        <v/>
      </c>
      <c r="AR18" s="83">
        <f>IFERROR(AR17/AR7,0)</f>
        <v/>
      </c>
      <c r="AS18" s="83">
        <f>IFERROR(AS17/AS7,0)</f>
        <v/>
      </c>
      <c r="AT18" s="83">
        <f>IFERROR(AT17/AT7,0)</f>
        <v/>
      </c>
      <c r="AU18" s="83">
        <f>IFERROR(AU17/AU7,0)</f>
        <v/>
      </c>
      <c r="AV18" s="83">
        <f>IFERROR(AV17/AV7,0)</f>
        <v/>
      </c>
      <c r="AW18" s="83">
        <f>IFERROR(AW17/AW7,0)</f>
        <v/>
      </c>
      <c r="AX18" s="83">
        <f>IFERROR(AX17/AX7,0)</f>
        <v/>
      </c>
      <c r="AY18" s="83">
        <f>IFERROR(AY17/AY7,0)</f>
        <v/>
      </c>
      <c r="AZ18" s="83">
        <f>IFERROR(AZ17/AZ7,0)</f>
        <v/>
      </c>
      <c r="BA18" s="83">
        <f>IFERROR(BA17/BA7,0)</f>
        <v/>
      </c>
      <c r="BB18" s="83">
        <f>IFERROR(BB17/BB7,0)</f>
        <v/>
      </c>
      <c r="BC18" s="83">
        <f>IFERROR(BC17/BC7,0)</f>
        <v/>
      </c>
      <c r="BD18" s="83">
        <f>IFERROR(BD17/BD7,0)</f>
        <v/>
      </c>
      <c r="BE18" s="83">
        <f>IFERROR(BE17/BE7,0)</f>
        <v/>
      </c>
      <c r="BF18" s="83">
        <f>IFERROR(BF17/BF7,0)</f>
        <v/>
      </c>
      <c r="BG18" s="83">
        <f>IFERROR(BG17/BG7,0)</f>
        <v/>
      </c>
      <c r="BH18" s="83">
        <f>IFERROR(BH17/BH7,0)</f>
        <v/>
      </c>
      <c r="BI18" s="83">
        <f>IFERROR(BI17/BI7,0)</f>
        <v/>
      </c>
      <c r="BJ18" s="83">
        <f>IFERROR(BJ17/BJ7,0)</f>
        <v/>
      </c>
      <c r="BK18" s="83">
        <f>IFERROR(BK17/BK7,0)</f>
        <v/>
      </c>
      <c r="BL18" s="83">
        <f>IFERROR(BL17/BL7,0)</f>
        <v/>
      </c>
      <c r="BN18" s="83">
        <f>IFERROR(BN17/BN7,0)</f>
        <v/>
      </c>
      <c r="BO18" s="83">
        <f>IFERROR(BO17/BO7,0)</f>
        <v/>
      </c>
      <c r="BP18" s="83">
        <f>IFERROR(BP17/BP7,0)</f>
        <v/>
      </c>
      <c r="BQ18" s="83">
        <f>IFERROR(BQ17/BQ7,0)</f>
        <v/>
      </c>
      <c r="BR18" s="83">
        <f>IFERROR(BR17/BR7,0)</f>
        <v/>
      </c>
    </row>
    <row r="19">
      <c r="A19" s="93" t="inlineStr">
        <is>
          <t>− D&amp;A (амортизация)</t>
        </is>
      </c>
      <c r="B19" s="97" t="inlineStr">
        <is>
          <t>млн ₽</t>
        </is>
      </c>
      <c r="C19" s="53">
        <f>SUM(BN19:BR19)</f>
        <v/>
      </c>
      <c r="D19" s="45" t="inlineStr"/>
      <c r="E19" s="85">
        <f>'CAPEX &amp; D&amp;A'!E29</f>
        <v/>
      </c>
      <c r="F19" s="85">
        <f>'CAPEX &amp; D&amp;A'!F29</f>
        <v/>
      </c>
      <c r="G19" s="85">
        <f>'CAPEX &amp; D&amp;A'!G29</f>
        <v/>
      </c>
      <c r="H19" s="85">
        <f>'CAPEX &amp; D&amp;A'!H29</f>
        <v/>
      </c>
      <c r="I19" s="85">
        <f>'CAPEX &amp; D&amp;A'!I29</f>
        <v/>
      </c>
      <c r="J19" s="85">
        <f>'CAPEX &amp; D&amp;A'!J29</f>
        <v/>
      </c>
      <c r="K19" s="85">
        <f>'CAPEX &amp; D&amp;A'!K29</f>
        <v/>
      </c>
      <c r="L19" s="85">
        <f>'CAPEX &amp; D&amp;A'!L29</f>
        <v/>
      </c>
      <c r="M19" s="85">
        <f>'CAPEX &amp; D&amp;A'!M29</f>
        <v/>
      </c>
      <c r="N19" s="85">
        <f>'CAPEX &amp; D&amp;A'!N29</f>
        <v/>
      </c>
      <c r="O19" s="85">
        <f>'CAPEX &amp; D&amp;A'!O29</f>
        <v/>
      </c>
      <c r="P19" s="85">
        <f>'CAPEX &amp; D&amp;A'!P29</f>
        <v/>
      </c>
      <c r="Q19" s="85">
        <f>'CAPEX &amp; D&amp;A'!Q29</f>
        <v/>
      </c>
      <c r="R19" s="85">
        <f>'CAPEX &amp; D&amp;A'!R29</f>
        <v/>
      </c>
      <c r="S19" s="85">
        <f>'CAPEX &amp; D&amp;A'!S29</f>
        <v/>
      </c>
      <c r="T19" s="85">
        <f>'CAPEX &amp; D&amp;A'!T29</f>
        <v/>
      </c>
      <c r="U19" s="85">
        <f>'CAPEX &amp; D&amp;A'!U29</f>
        <v/>
      </c>
      <c r="V19" s="85">
        <f>'CAPEX &amp; D&amp;A'!V29</f>
        <v/>
      </c>
      <c r="W19" s="85">
        <f>'CAPEX &amp; D&amp;A'!W29</f>
        <v/>
      </c>
      <c r="X19" s="85">
        <f>'CAPEX &amp; D&amp;A'!X29</f>
        <v/>
      </c>
      <c r="Y19" s="85">
        <f>'CAPEX &amp; D&amp;A'!Y29</f>
        <v/>
      </c>
      <c r="Z19" s="85">
        <f>'CAPEX &amp; D&amp;A'!Z29</f>
        <v/>
      </c>
      <c r="AA19" s="85">
        <f>'CAPEX &amp; D&amp;A'!AA29</f>
        <v/>
      </c>
      <c r="AB19" s="85">
        <f>'CAPEX &amp; D&amp;A'!AB29</f>
        <v/>
      </c>
      <c r="AC19" s="85">
        <f>'CAPEX &amp; D&amp;A'!AC29</f>
        <v/>
      </c>
      <c r="AD19" s="85">
        <f>'CAPEX &amp; D&amp;A'!AD29</f>
        <v/>
      </c>
      <c r="AE19" s="85">
        <f>'CAPEX &amp; D&amp;A'!AE29</f>
        <v/>
      </c>
      <c r="AF19" s="85">
        <f>'CAPEX &amp; D&amp;A'!AF29</f>
        <v/>
      </c>
      <c r="AG19" s="85">
        <f>'CAPEX &amp; D&amp;A'!AG29</f>
        <v/>
      </c>
      <c r="AH19" s="85">
        <f>'CAPEX &amp; D&amp;A'!AH29</f>
        <v/>
      </c>
      <c r="AI19" s="85">
        <f>'CAPEX &amp; D&amp;A'!AI29</f>
        <v/>
      </c>
      <c r="AJ19" s="85">
        <f>'CAPEX &amp; D&amp;A'!AJ29</f>
        <v/>
      </c>
      <c r="AK19" s="85">
        <f>'CAPEX &amp; D&amp;A'!AK29</f>
        <v/>
      </c>
      <c r="AL19" s="85">
        <f>'CAPEX &amp; D&amp;A'!AL29</f>
        <v/>
      </c>
      <c r="AM19" s="85">
        <f>'CAPEX &amp; D&amp;A'!AM29</f>
        <v/>
      </c>
      <c r="AN19" s="85">
        <f>'CAPEX &amp; D&amp;A'!AN29</f>
        <v/>
      </c>
      <c r="AO19" s="85">
        <f>'CAPEX &amp; D&amp;A'!AO29</f>
        <v/>
      </c>
      <c r="AP19" s="85">
        <f>'CAPEX &amp; D&amp;A'!AP29</f>
        <v/>
      </c>
      <c r="AQ19" s="85">
        <f>'CAPEX &amp; D&amp;A'!AQ29</f>
        <v/>
      </c>
      <c r="AR19" s="85">
        <f>'CAPEX &amp; D&amp;A'!AR29</f>
        <v/>
      </c>
      <c r="AS19" s="85">
        <f>'CAPEX &amp; D&amp;A'!AS29</f>
        <v/>
      </c>
      <c r="AT19" s="85">
        <f>'CAPEX &amp; D&amp;A'!AT29</f>
        <v/>
      </c>
      <c r="AU19" s="85">
        <f>'CAPEX &amp; D&amp;A'!AU29</f>
        <v/>
      </c>
      <c r="AV19" s="85">
        <f>'CAPEX &amp; D&amp;A'!AV29</f>
        <v/>
      </c>
      <c r="AW19" s="85">
        <f>'CAPEX &amp; D&amp;A'!AW29</f>
        <v/>
      </c>
      <c r="AX19" s="85">
        <f>'CAPEX &amp; D&amp;A'!AX29</f>
        <v/>
      </c>
      <c r="AY19" s="85">
        <f>'CAPEX &amp; D&amp;A'!AY29</f>
        <v/>
      </c>
      <c r="AZ19" s="85">
        <f>'CAPEX &amp; D&amp;A'!AZ29</f>
        <v/>
      </c>
      <c r="BA19" s="85">
        <f>'CAPEX &amp; D&amp;A'!BA29</f>
        <v/>
      </c>
      <c r="BB19" s="85">
        <f>'CAPEX &amp; D&amp;A'!BB29</f>
        <v/>
      </c>
      <c r="BC19" s="85">
        <f>'CAPEX &amp; D&amp;A'!BC29</f>
        <v/>
      </c>
      <c r="BD19" s="85">
        <f>'CAPEX &amp; D&amp;A'!BD29</f>
        <v/>
      </c>
      <c r="BE19" s="85">
        <f>'CAPEX &amp; D&amp;A'!BE29</f>
        <v/>
      </c>
      <c r="BF19" s="85">
        <f>'CAPEX &amp; D&amp;A'!BF29</f>
        <v/>
      </c>
      <c r="BG19" s="85">
        <f>'CAPEX &amp; D&amp;A'!BG29</f>
        <v/>
      </c>
      <c r="BH19" s="85">
        <f>'CAPEX &amp; D&amp;A'!BH29</f>
        <v/>
      </c>
      <c r="BI19" s="85">
        <f>'CAPEX &amp; D&amp;A'!BI29</f>
        <v/>
      </c>
      <c r="BJ19" s="85">
        <f>'CAPEX &amp; D&amp;A'!BJ29</f>
        <v/>
      </c>
      <c r="BK19" s="85">
        <f>'CAPEX &amp; D&amp;A'!BK29</f>
        <v/>
      </c>
      <c r="BL19" s="85">
        <f>'CAPEX &amp; D&amp;A'!BL29</f>
        <v/>
      </c>
      <c r="BN19" s="85">
        <f>'CAPEX &amp; D&amp;A'!BN29</f>
        <v/>
      </c>
      <c r="BO19" s="85">
        <f>'CAPEX &amp; D&amp;A'!BO29</f>
        <v/>
      </c>
      <c r="BP19" s="85">
        <f>'CAPEX &amp; D&amp;A'!BP29</f>
        <v/>
      </c>
      <c r="BQ19" s="85">
        <f>'CAPEX &amp; D&amp;A'!BQ29</f>
        <v/>
      </c>
      <c r="BR19" s="85">
        <f>'CAPEX &amp; D&amp;A'!BR29</f>
        <v/>
      </c>
    </row>
    <row r="20">
      <c r="A20" s="105" t="inlineStr">
        <is>
          <t xml:space="preserve">  D&amp;A %</t>
        </is>
      </c>
      <c r="B20" s="106" t="inlineStr">
        <is>
          <t>%</t>
        </is>
      </c>
      <c r="C20" s="48" t="inlineStr">
        <is>
          <t>—</t>
        </is>
      </c>
      <c r="D20" s="45" t="inlineStr"/>
      <c r="E20" s="83">
        <f>IFERROR(E19/E7,0)</f>
        <v/>
      </c>
      <c r="F20" s="83">
        <f>IFERROR(F19/F7,0)</f>
        <v/>
      </c>
      <c r="G20" s="83">
        <f>IFERROR(G19/G7,0)</f>
        <v/>
      </c>
      <c r="H20" s="83">
        <f>IFERROR(H19/H7,0)</f>
        <v/>
      </c>
      <c r="I20" s="83">
        <f>IFERROR(I19/I7,0)</f>
        <v/>
      </c>
      <c r="J20" s="83">
        <f>IFERROR(J19/J7,0)</f>
        <v/>
      </c>
      <c r="K20" s="83">
        <f>IFERROR(K19/K7,0)</f>
        <v/>
      </c>
      <c r="L20" s="83">
        <f>IFERROR(L19/L7,0)</f>
        <v/>
      </c>
      <c r="M20" s="83">
        <f>IFERROR(M19/M7,0)</f>
        <v/>
      </c>
      <c r="N20" s="83">
        <f>IFERROR(N19/N7,0)</f>
        <v/>
      </c>
      <c r="O20" s="83">
        <f>IFERROR(O19/O7,0)</f>
        <v/>
      </c>
      <c r="P20" s="83">
        <f>IFERROR(P19/P7,0)</f>
        <v/>
      </c>
      <c r="Q20" s="83">
        <f>IFERROR(Q19/Q7,0)</f>
        <v/>
      </c>
      <c r="R20" s="83">
        <f>IFERROR(R19/R7,0)</f>
        <v/>
      </c>
      <c r="S20" s="83">
        <f>IFERROR(S19/S7,0)</f>
        <v/>
      </c>
      <c r="T20" s="83">
        <f>IFERROR(T19/T7,0)</f>
        <v/>
      </c>
      <c r="U20" s="83">
        <f>IFERROR(U19/U7,0)</f>
        <v/>
      </c>
      <c r="V20" s="83">
        <f>IFERROR(V19/V7,0)</f>
        <v/>
      </c>
      <c r="W20" s="83">
        <f>IFERROR(W19/W7,0)</f>
        <v/>
      </c>
      <c r="X20" s="83">
        <f>IFERROR(X19/X7,0)</f>
        <v/>
      </c>
      <c r="Y20" s="83">
        <f>IFERROR(Y19/Y7,0)</f>
        <v/>
      </c>
      <c r="Z20" s="83">
        <f>IFERROR(Z19/Z7,0)</f>
        <v/>
      </c>
      <c r="AA20" s="83">
        <f>IFERROR(AA19/AA7,0)</f>
        <v/>
      </c>
      <c r="AB20" s="83">
        <f>IFERROR(AB19/AB7,0)</f>
        <v/>
      </c>
      <c r="AC20" s="83">
        <f>IFERROR(AC19/AC7,0)</f>
        <v/>
      </c>
      <c r="AD20" s="83">
        <f>IFERROR(AD19/AD7,0)</f>
        <v/>
      </c>
      <c r="AE20" s="83">
        <f>IFERROR(AE19/AE7,0)</f>
        <v/>
      </c>
      <c r="AF20" s="83">
        <f>IFERROR(AF19/AF7,0)</f>
        <v/>
      </c>
      <c r="AG20" s="83">
        <f>IFERROR(AG19/AG7,0)</f>
        <v/>
      </c>
      <c r="AH20" s="83">
        <f>IFERROR(AH19/AH7,0)</f>
        <v/>
      </c>
      <c r="AI20" s="83">
        <f>IFERROR(AI19/AI7,0)</f>
        <v/>
      </c>
      <c r="AJ20" s="83">
        <f>IFERROR(AJ19/AJ7,0)</f>
        <v/>
      </c>
      <c r="AK20" s="83">
        <f>IFERROR(AK19/AK7,0)</f>
        <v/>
      </c>
      <c r="AL20" s="83">
        <f>IFERROR(AL19/AL7,0)</f>
        <v/>
      </c>
      <c r="AM20" s="83">
        <f>IFERROR(AM19/AM7,0)</f>
        <v/>
      </c>
      <c r="AN20" s="83">
        <f>IFERROR(AN19/AN7,0)</f>
        <v/>
      </c>
      <c r="AO20" s="83">
        <f>IFERROR(AO19/AO7,0)</f>
        <v/>
      </c>
      <c r="AP20" s="83">
        <f>IFERROR(AP19/AP7,0)</f>
        <v/>
      </c>
      <c r="AQ20" s="83">
        <f>IFERROR(AQ19/AQ7,0)</f>
        <v/>
      </c>
      <c r="AR20" s="83">
        <f>IFERROR(AR19/AR7,0)</f>
        <v/>
      </c>
      <c r="AS20" s="83">
        <f>IFERROR(AS19/AS7,0)</f>
        <v/>
      </c>
      <c r="AT20" s="83">
        <f>IFERROR(AT19/AT7,0)</f>
        <v/>
      </c>
      <c r="AU20" s="83">
        <f>IFERROR(AU19/AU7,0)</f>
        <v/>
      </c>
      <c r="AV20" s="83">
        <f>IFERROR(AV19/AV7,0)</f>
        <v/>
      </c>
      <c r="AW20" s="83">
        <f>IFERROR(AW19/AW7,0)</f>
        <v/>
      </c>
      <c r="AX20" s="83">
        <f>IFERROR(AX19/AX7,0)</f>
        <v/>
      </c>
      <c r="AY20" s="83">
        <f>IFERROR(AY19/AY7,0)</f>
        <v/>
      </c>
      <c r="AZ20" s="83">
        <f>IFERROR(AZ19/AZ7,0)</f>
        <v/>
      </c>
      <c r="BA20" s="83">
        <f>IFERROR(BA19/BA7,0)</f>
        <v/>
      </c>
      <c r="BB20" s="83">
        <f>IFERROR(BB19/BB7,0)</f>
        <v/>
      </c>
      <c r="BC20" s="83">
        <f>IFERROR(BC19/BC7,0)</f>
        <v/>
      </c>
      <c r="BD20" s="83">
        <f>IFERROR(BD19/BD7,0)</f>
        <v/>
      </c>
      <c r="BE20" s="83">
        <f>IFERROR(BE19/BE7,0)</f>
        <v/>
      </c>
      <c r="BF20" s="83">
        <f>IFERROR(BF19/BF7,0)</f>
        <v/>
      </c>
      <c r="BG20" s="83">
        <f>IFERROR(BG19/BG7,0)</f>
        <v/>
      </c>
      <c r="BH20" s="83">
        <f>IFERROR(BH19/BH7,0)</f>
        <v/>
      </c>
      <c r="BI20" s="83">
        <f>IFERROR(BI19/BI7,0)</f>
        <v/>
      </c>
      <c r="BJ20" s="83">
        <f>IFERROR(BJ19/BJ7,0)</f>
        <v/>
      </c>
      <c r="BK20" s="83">
        <f>IFERROR(BK19/BK7,0)</f>
        <v/>
      </c>
      <c r="BL20" s="83">
        <f>IFERROR(BL19/BL7,0)</f>
        <v/>
      </c>
      <c r="BN20" s="83">
        <f>IFERROR(BN19/BN7,0)</f>
        <v/>
      </c>
      <c r="BO20" s="83">
        <f>IFERROR(BO19/BO7,0)</f>
        <v/>
      </c>
      <c r="BP20" s="83">
        <f>IFERROR(BP19/BP7,0)</f>
        <v/>
      </c>
      <c r="BQ20" s="83">
        <f>IFERROR(BQ19/BQ7,0)</f>
        <v/>
      </c>
      <c r="BR20" s="83">
        <f>IFERROR(BR19/BR7,0)</f>
        <v/>
      </c>
    </row>
    <row r="21">
      <c r="A21" s="51" t="inlineStr">
        <is>
          <t xml:space="preserve"> = EBIT (операционная прибыль, из CAPEX &amp; D&amp;A)</t>
        </is>
      </c>
      <c r="B21" s="96" t="inlineStr">
        <is>
          <t>млн ₽</t>
        </is>
      </c>
      <c r="C21" s="67">
        <f>SUM(BN21:BR21)</f>
        <v/>
      </c>
      <c r="D21" s="45" t="inlineStr"/>
      <c r="E21" s="84">
        <f>'CAPEX &amp; D&amp;A'!E30</f>
        <v/>
      </c>
      <c r="F21" s="84">
        <f>'CAPEX &amp; D&amp;A'!F30</f>
        <v/>
      </c>
      <c r="G21" s="84">
        <f>'CAPEX &amp; D&amp;A'!G30</f>
        <v/>
      </c>
      <c r="H21" s="84">
        <f>'CAPEX &amp; D&amp;A'!H30</f>
        <v/>
      </c>
      <c r="I21" s="84">
        <f>'CAPEX &amp; D&amp;A'!I30</f>
        <v/>
      </c>
      <c r="J21" s="84">
        <f>'CAPEX &amp; D&amp;A'!J30</f>
        <v/>
      </c>
      <c r="K21" s="84">
        <f>'CAPEX &amp; D&amp;A'!K30</f>
        <v/>
      </c>
      <c r="L21" s="84">
        <f>'CAPEX &amp; D&amp;A'!L30</f>
        <v/>
      </c>
      <c r="M21" s="84">
        <f>'CAPEX &amp; D&amp;A'!M30</f>
        <v/>
      </c>
      <c r="N21" s="84">
        <f>'CAPEX &amp; D&amp;A'!N30</f>
        <v/>
      </c>
      <c r="O21" s="84">
        <f>'CAPEX &amp; D&amp;A'!O30</f>
        <v/>
      </c>
      <c r="P21" s="84">
        <f>'CAPEX &amp; D&amp;A'!P30</f>
        <v/>
      </c>
      <c r="Q21" s="84">
        <f>'CAPEX &amp; D&amp;A'!Q30</f>
        <v/>
      </c>
      <c r="R21" s="84">
        <f>'CAPEX &amp; D&amp;A'!R30</f>
        <v/>
      </c>
      <c r="S21" s="84">
        <f>'CAPEX &amp; D&amp;A'!S30</f>
        <v/>
      </c>
      <c r="T21" s="84">
        <f>'CAPEX &amp; D&amp;A'!T30</f>
        <v/>
      </c>
      <c r="U21" s="84">
        <f>'CAPEX &amp; D&amp;A'!U30</f>
        <v/>
      </c>
      <c r="V21" s="84">
        <f>'CAPEX &amp; D&amp;A'!V30</f>
        <v/>
      </c>
      <c r="W21" s="84">
        <f>'CAPEX &amp; D&amp;A'!W30</f>
        <v/>
      </c>
      <c r="X21" s="84">
        <f>'CAPEX &amp; D&amp;A'!X30</f>
        <v/>
      </c>
      <c r="Y21" s="84">
        <f>'CAPEX &amp; D&amp;A'!Y30</f>
        <v/>
      </c>
      <c r="Z21" s="84">
        <f>'CAPEX &amp; D&amp;A'!Z30</f>
        <v/>
      </c>
      <c r="AA21" s="84">
        <f>'CAPEX &amp; D&amp;A'!AA30</f>
        <v/>
      </c>
      <c r="AB21" s="84">
        <f>'CAPEX &amp; D&amp;A'!AB30</f>
        <v/>
      </c>
      <c r="AC21" s="84">
        <f>'CAPEX &amp; D&amp;A'!AC30</f>
        <v/>
      </c>
      <c r="AD21" s="84">
        <f>'CAPEX &amp; D&amp;A'!AD30</f>
        <v/>
      </c>
      <c r="AE21" s="84">
        <f>'CAPEX &amp; D&amp;A'!AE30</f>
        <v/>
      </c>
      <c r="AF21" s="84">
        <f>'CAPEX &amp; D&amp;A'!AF30</f>
        <v/>
      </c>
      <c r="AG21" s="84">
        <f>'CAPEX &amp; D&amp;A'!AG30</f>
        <v/>
      </c>
      <c r="AH21" s="84">
        <f>'CAPEX &amp; D&amp;A'!AH30</f>
        <v/>
      </c>
      <c r="AI21" s="84">
        <f>'CAPEX &amp; D&amp;A'!AI30</f>
        <v/>
      </c>
      <c r="AJ21" s="84">
        <f>'CAPEX &amp; D&amp;A'!AJ30</f>
        <v/>
      </c>
      <c r="AK21" s="84">
        <f>'CAPEX &amp; D&amp;A'!AK30</f>
        <v/>
      </c>
      <c r="AL21" s="84">
        <f>'CAPEX &amp; D&amp;A'!AL30</f>
        <v/>
      </c>
      <c r="AM21" s="84">
        <f>'CAPEX &amp; D&amp;A'!AM30</f>
        <v/>
      </c>
      <c r="AN21" s="84">
        <f>'CAPEX &amp; D&amp;A'!AN30</f>
        <v/>
      </c>
      <c r="AO21" s="84">
        <f>'CAPEX &amp; D&amp;A'!AO30</f>
        <v/>
      </c>
      <c r="AP21" s="84">
        <f>'CAPEX &amp; D&amp;A'!AP30</f>
        <v/>
      </c>
      <c r="AQ21" s="84">
        <f>'CAPEX &amp; D&amp;A'!AQ30</f>
        <v/>
      </c>
      <c r="AR21" s="84">
        <f>'CAPEX &amp; D&amp;A'!AR30</f>
        <v/>
      </c>
      <c r="AS21" s="84">
        <f>'CAPEX &amp; D&amp;A'!AS30</f>
        <v/>
      </c>
      <c r="AT21" s="84">
        <f>'CAPEX &amp; D&amp;A'!AT30</f>
        <v/>
      </c>
      <c r="AU21" s="84">
        <f>'CAPEX &amp; D&amp;A'!AU30</f>
        <v/>
      </c>
      <c r="AV21" s="84">
        <f>'CAPEX &amp; D&amp;A'!AV30</f>
        <v/>
      </c>
      <c r="AW21" s="84">
        <f>'CAPEX &amp; D&amp;A'!AW30</f>
        <v/>
      </c>
      <c r="AX21" s="84">
        <f>'CAPEX &amp; D&amp;A'!AX30</f>
        <v/>
      </c>
      <c r="AY21" s="84">
        <f>'CAPEX &amp; D&amp;A'!AY30</f>
        <v/>
      </c>
      <c r="AZ21" s="84">
        <f>'CAPEX &amp; D&amp;A'!AZ30</f>
        <v/>
      </c>
      <c r="BA21" s="84">
        <f>'CAPEX &amp; D&amp;A'!BA30</f>
        <v/>
      </c>
      <c r="BB21" s="84">
        <f>'CAPEX &amp; D&amp;A'!BB30</f>
        <v/>
      </c>
      <c r="BC21" s="84">
        <f>'CAPEX &amp; D&amp;A'!BC30</f>
        <v/>
      </c>
      <c r="BD21" s="84">
        <f>'CAPEX &amp; D&amp;A'!BD30</f>
        <v/>
      </c>
      <c r="BE21" s="84">
        <f>'CAPEX &amp; D&amp;A'!BE30</f>
        <v/>
      </c>
      <c r="BF21" s="84">
        <f>'CAPEX &amp; D&amp;A'!BF30</f>
        <v/>
      </c>
      <c r="BG21" s="84">
        <f>'CAPEX &amp; D&amp;A'!BG30</f>
        <v/>
      </c>
      <c r="BH21" s="84">
        <f>'CAPEX &amp; D&amp;A'!BH30</f>
        <v/>
      </c>
      <c r="BI21" s="84">
        <f>'CAPEX &amp; D&amp;A'!BI30</f>
        <v/>
      </c>
      <c r="BJ21" s="84">
        <f>'CAPEX &amp; D&amp;A'!BJ30</f>
        <v/>
      </c>
      <c r="BK21" s="84">
        <f>'CAPEX &amp; D&amp;A'!BK30</f>
        <v/>
      </c>
      <c r="BL21" s="84">
        <f>'CAPEX &amp; D&amp;A'!BL30</f>
        <v/>
      </c>
      <c r="BN21" s="84">
        <f>'CAPEX &amp; D&amp;A'!BN30</f>
        <v/>
      </c>
      <c r="BO21" s="84">
        <f>'CAPEX &amp; D&amp;A'!BO30</f>
        <v/>
      </c>
      <c r="BP21" s="84">
        <f>'CAPEX &amp; D&amp;A'!BP30</f>
        <v/>
      </c>
      <c r="BQ21" s="84">
        <f>'CAPEX &amp; D&amp;A'!BQ30</f>
        <v/>
      </c>
      <c r="BR21" s="84">
        <f>'CAPEX &amp; D&amp;A'!BR30</f>
        <v/>
      </c>
    </row>
    <row r="22">
      <c r="A22" s="105" t="inlineStr">
        <is>
          <t xml:space="preserve">  EBIT Margin %</t>
        </is>
      </c>
      <c r="B22" s="106" t="inlineStr">
        <is>
          <t>%</t>
        </is>
      </c>
      <c r="C22" s="48" t="inlineStr">
        <is>
          <t>—</t>
        </is>
      </c>
      <c r="D22" s="45" t="inlineStr"/>
      <c r="E22" s="83">
        <f>IFERROR(E21/E7,0)</f>
        <v/>
      </c>
      <c r="F22" s="83">
        <f>IFERROR(F21/F7,0)</f>
        <v/>
      </c>
      <c r="G22" s="83">
        <f>IFERROR(G21/G7,0)</f>
        <v/>
      </c>
      <c r="H22" s="83">
        <f>IFERROR(H21/H7,0)</f>
        <v/>
      </c>
      <c r="I22" s="83">
        <f>IFERROR(I21/I7,0)</f>
        <v/>
      </c>
      <c r="J22" s="83">
        <f>IFERROR(J21/J7,0)</f>
        <v/>
      </c>
      <c r="K22" s="83">
        <f>IFERROR(K21/K7,0)</f>
        <v/>
      </c>
      <c r="L22" s="83">
        <f>IFERROR(L21/L7,0)</f>
        <v/>
      </c>
      <c r="M22" s="83">
        <f>IFERROR(M21/M7,0)</f>
        <v/>
      </c>
      <c r="N22" s="83">
        <f>IFERROR(N21/N7,0)</f>
        <v/>
      </c>
      <c r="O22" s="83">
        <f>IFERROR(O21/O7,0)</f>
        <v/>
      </c>
      <c r="P22" s="83">
        <f>IFERROR(P21/P7,0)</f>
        <v/>
      </c>
      <c r="Q22" s="83">
        <f>IFERROR(Q21/Q7,0)</f>
        <v/>
      </c>
      <c r="R22" s="83">
        <f>IFERROR(R21/R7,0)</f>
        <v/>
      </c>
      <c r="S22" s="83">
        <f>IFERROR(S21/S7,0)</f>
        <v/>
      </c>
      <c r="T22" s="83">
        <f>IFERROR(T21/T7,0)</f>
        <v/>
      </c>
      <c r="U22" s="83">
        <f>IFERROR(U21/U7,0)</f>
        <v/>
      </c>
      <c r="V22" s="83">
        <f>IFERROR(V21/V7,0)</f>
        <v/>
      </c>
      <c r="W22" s="83">
        <f>IFERROR(W21/W7,0)</f>
        <v/>
      </c>
      <c r="X22" s="83">
        <f>IFERROR(X21/X7,0)</f>
        <v/>
      </c>
      <c r="Y22" s="83">
        <f>IFERROR(Y21/Y7,0)</f>
        <v/>
      </c>
      <c r="Z22" s="83">
        <f>IFERROR(Z21/Z7,0)</f>
        <v/>
      </c>
      <c r="AA22" s="83">
        <f>IFERROR(AA21/AA7,0)</f>
        <v/>
      </c>
      <c r="AB22" s="83">
        <f>IFERROR(AB21/AB7,0)</f>
        <v/>
      </c>
      <c r="AC22" s="83">
        <f>IFERROR(AC21/AC7,0)</f>
        <v/>
      </c>
      <c r="AD22" s="83">
        <f>IFERROR(AD21/AD7,0)</f>
        <v/>
      </c>
      <c r="AE22" s="83">
        <f>IFERROR(AE21/AE7,0)</f>
        <v/>
      </c>
      <c r="AF22" s="83">
        <f>IFERROR(AF21/AF7,0)</f>
        <v/>
      </c>
      <c r="AG22" s="83">
        <f>IFERROR(AG21/AG7,0)</f>
        <v/>
      </c>
      <c r="AH22" s="83">
        <f>IFERROR(AH21/AH7,0)</f>
        <v/>
      </c>
      <c r="AI22" s="83">
        <f>IFERROR(AI21/AI7,0)</f>
        <v/>
      </c>
      <c r="AJ22" s="83">
        <f>IFERROR(AJ21/AJ7,0)</f>
        <v/>
      </c>
      <c r="AK22" s="83">
        <f>IFERROR(AK21/AK7,0)</f>
        <v/>
      </c>
      <c r="AL22" s="83">
        <f>IFERROR(AL21/AL7,0)</f>
        <v/>
      </c>
      <c r="AM22" s="83">
        <f>IFERROR(AM21/AM7,0)</f>
        <v/>
      </c>
      <c r="AN22" s="83">
        <f>IFERROR(AN21/AN7,0)</f>
        <v/>
      </c>
      <c r="AO22" s="83">
        <f>IFERROR(AO21/AO7,0)</f>
        <v/>
      </c>
      <c r="AP22" s="83">
        <f>IFERROR(AP21/AP7,0)</f>
        <v/>
      </c>
      <c r="AQ22" s="83">
        <f>IFERROR(AQ21/AQ7,0)</f>
        <v/>
      </c>
      <c r="AR22" s="83">
        <f>IFERROR(AR21/AR7,0)</f>
        <v/>
      </c>
      <c r="AS22" s="83">
        <f>IFERROR(AS21/AS7,0)</f>
        <v/>
      </c>
      <c r="AT22" s="83">
        <f>IFERROR(AT21/AT7,0)</f>
        <v/>
      </c>
      <c r="AU22" s="83">
        <f>IFERROR(AU21/AU7,0)</f>
        <v/>
      </c>
      <c r="AV22" s="83">
        <f>IFERROR(AV21/AV7,0)</f>
        <v/>
      </c>
      <c r="AW22" s="83">
        <f>IFERROR(AW21/AW7,0)</f>
        <v/>
      </c>
      <c r="AX22" s="83">
        <f>IFERROR(AX21/AX7,0)</f>
        <v/>
      </c>
      <c r="AY22" s="83">
        <f>IFERROR(AY21/AY7,0)</f>
        <v/>
      </c>
      <c r="AZ22" s="83">
        <f>IFERROR(AZ21/AZ7,0)</f>
        <v/>
      </c>
      <c r="BA22" s="83">
        <f>IFERROR(BA21/BA7,0)</f>
        <v/>
      </c>
      <c r="BB22" s="83">
        <f>IFERROR(BB21/BB7,0)</f>
        <v/>
      </c>
      <c r="BC22" s="83">
        <f>IFERROR(BC21/BC7,0)</f>
        <v/>
      </c>
      <c r="BD22" s="83">
        <f>IFERROR(BD21/BD7,0)</f>
        <v/>
      </c>
      <c r="BE22" s="83">
        <f>IFERROR(BE21/BE7,0)</f>
        <v/>
      </c>
      <c r="BF22" s="83">
        <f>IFERROR(BF21/BF7,0)</f>
        <v/>
      </c>
      <c r="BG22" s="83">
        <f>IFERROR(BG21/BG7,0)</f>
        <v/>
      </c>
      <c r="BH22" s="83">
        <f>IFERROR(BH21/BH7,0)</f>
        <v/>
      </c>
      <c r="BI22" s="83">
        <f>IFERROR(BI21/BI7,0)</f>
        <v/>
      </c>
      <c r="BJ22" s="83">
        <f>IFERROR(BJ21/BJ7,0)</f>
        <v/>
      </c>
      <c r="BK22" s="83">
        <f>IFERROR(BK21/BK7,0)</f>
        <v/>
      </c>
      <c r="BL22" s="83">
        <f>IFERROR(BL21/BL7,0)</f>
        <v/>
      </c>
      <c r="BN22" s="83">
        <f>IFERROR(BN21/BN7,0)</f>
        <v/>
      </c>
      <c r="BO22" s="83">
        <f>IFERROR(BO21/BO7,0)</f>
        <v/>
      </c>
      <c r="BP22" s="83">
        <f>IFERROR(BP21/BP7,0)</f>
        <v/>
      </c>
      <c r="BQ22" s="83">
        <f>IFERROR(BQ21/BQ7,0)</f>
        <v/>
      </c>
      <c r="BR22" s="83">
        <f>IFERROR(BR21/BR7,0)</f>
        <v/>
      </c>
    </row>
    <row r="23"/>
    <row r="24" ht="22" customHeight="1">
      <c r="A24" s="62" t="inlineStr">
        <is>
          <t xml:space="preserve">  ФИНАНСОВЫЕ РАСХОДЫ</t>
        </is>
      </c>
    </row>
    <row r="25">
      <c r="A25" s="93" t="inlineStr">
        <is>
          <t>− Проценты по долгу</t>
        </is>
      </c>
      <c r="B25" s="97" t="inlineStr">
        <is>
          <t>млн ₽</t>
        </is>
      </c>
      <c r="C25" s="53">
        <f>SUM(BN25:BR25)</f>
        <v/>
      </c>
      <c r="D25" s="45" t="inlineStr"/>
      <c r="E25" s="85">
        <f>'Долговое финансирование'!E13</f>
        <v/>
      </c>
      <c r="F25" s="85">
        <f>'Долговое финансирование'!F13</f>
        <v/>
      </c>
      <c r="G25" s="85">
        <f>'Долговое финансирование'!G13</f>
        <v/>
      </c>
      <c r="H25" s="85">
        <f>'Долговое финансирование'!H13</f>
        <v/>
      </c>
      <c r="I25" s="85">
        <f>'Долговое финансирование'!I13</f>
        <v/>
      </c>
      <c r="J25" s="85">
        <f>'Долговое финансирование'!J13</f>
        <v/>
      </c>
      <c r="K25" s="85">
        <f>'Долговое финансирование'!K13</f>
        <v/>
      </c>
      <c r="L25" s="85">
        <f>'Долговое финансирование'!L13</f>
        <v/>
      </c>
      <c r="M25" s="85">
        <f>'Долговое финансирование'!M13</f>
        <v/>
      </c>
      <c r="N25" s="85">
        <f>'Долговое финансирование'!N13</f>
        <v/>
      </c>
      <c r="O25" s="85">
        <f>'Долговое финансирование'!O13</f>
        <v/>
      </c>
      <c r="P25" s="85">
        <f>'Долговое финансирование'!P13</f>
        <v/>
      </c>
      <c r="Q25" s="85">
        <f>'Долговое финансирование'!Q13</f>
        <v/>
      </c>
      <c r="R25" s="85">
        <f>'Долговое финансирование'!R13</f>
        <v/>
      </c>
      <c r="S25" s="85">
        <f>'Долговое финансирование'!S13</f>
        <v/>
      </c>
      <c r="T25" s="85">
        <f>'Долговое финансирование'!T13</f>
        <v/>
      </c>
      <c r="U25" s="85">
        <f>'Долговое финансирование'!U13</f>
        <v/>
      </c>
      <c r="V25" s="85">
        <f>'Долговое финансирование'!V13</f>
        <v/>
      </c>
      <c r="W25" s="85">
        <f>'Долговое финансирование'!W13</f>
        <v/>
      </c>
      <c r="X25" s="85">
        <f>'Долговое финансирование'!X13</f>
        <v/>
      </c>
      <c r="Y25" s="85">
        <f>'Долговое финансирование'!Y13</f>
        <v/>
      </c>
      <c r="Z25" s="85">
        <f>'Долговое финансирование'!Z13</f>
        <v/>
      </c>
      <c r="AA25" s="85">
        <f>'Долговое финансирование'!AA13</f>
        <v/>
      </c>
      <c r="AB25" s="85">
        <f>'Долговое финансирование'!AB13</f>
        <v/>
      </c>
      <c r="AC25" s="85">
        <f>'Долговое финансирование'!AC13</f>
        <v/>
      </c>
      <c r="AD25" s="85">
        <f>'Долговое финансирование'!AD13</f>
        <v/>
      </c>
      <c r="AE25" s="85">
        <f>'Долговое финансирование'!AE13</f>
        <v/>
      </c>
      <c r="AF25" s="85">
        <f>'Долговое финансирование'!AF13</f>
        <v/>
      </c>
      <c r="AG25" s="85">
        <f>'Долговое финансирование'!AG13</f>
        <v/>
      </c>
      <c r="AH25" s="85">
        <f>'Долговое финансирование'!AH13</f>
        <v/>
      </c>
      <c r="AI25" s="85">
        <f>'Долговое финансирование'!AI13</f>
        <v/>
      </c>
      <c r="AJ25" s="85">
        <f>'Долговое финансирование'!AJ13</f>
        <v/>
      </c>
      <c r="AK25" s="85">
        <f>'Долговое финансирование'!AK13</f>
        <v/>
      </c>
      <c r="AL25" s="85">
        <f>'Долговое финансирование'!AL13</f>
        <v/>
      </c>
      <c r="AM25" s="85">
        <f>'Долговое финансирование'!AM13</f>
        <v/>
      </c>
      <c r="AN25" s="85">
        <f>'Долговое финансирование'!AN13</f>
        <v/>
      </c>
      <c r="AO25" s="85">
        <f>'Долговое финансирование'!AO13</f>
        <v/>
      </c>
      <c r="AP25" s="85">
        <f>'Долговое финансирование'!AP13</f>
        <v/>
      </c>
      <c r="AQ25" s="85">
        <f>'Долговое финансирование'!AQ13</f>
        <v/>
      </c>
      <c r="AR25" s="85">
        <f>'Долговое финансирование'!AR13</f>
        <v/>
      </c>
      <c r="AS25" s="85">
        <f>'Долговое финансирование'!AS13</f>
        <v/>
      </c>
      <c r="AT25" s="85">
        <f>'Долговое финансирование'!AT13</f>
        <v/>
      </c>
      <c r="AU25" s="85">
        <f>'Долговое финансирование'!AU13</f>
        <v/>
      </c>
      <c r="AV25" s="85">
        <f>'Долговое финансирование'!AV13</f>
        <v/>
      </c>
      <c r="AW25" s="85">
        <f>'Долговое финансирование'!AW13</f>
        <v/>
      </c>
      <c r="AX25" s="85">
        <f>'Долговое финансирование'!AX13</f>
        <v/>
      </c>
      <c r="AY25" s="85">
        <f>'Долговое финансирование'!AY13</f>
        <v/>
      </c>
      <c r="AZ25" s="85">
        <f>'Долговое финансирование'!AZ13</f>
        <v/>
      </c>
      <c r="BA25" s="85">
        <f>'Долговое финансирование'!BA13</f>
        <v/>
      </c>
      <c r="BB25" s="85">
        <f>'Долговое финансирование'!BB13</f>
        <v/>
      </c>
      <c r="BC25" s="85">
        <f>'Долговое финансирование'!BC13</f>
        <v/>
      </c>
      <c r="BD25" s="85">
        <f>'Долговое финансирование'!BD13</f>
        <v/>
      </c>
      <c r="BE25" s="85">
        <f>'Долговое финансирование'!BE13</f>
        <v/>
      </c>
      <c r="BF25" s="85">
        <f>'Долговое финансирование'!BF13</f>
        <v/>
      </c>
      <c r="BG25" s="85">
        <f>'Долговое финансирование'!BG13</f>
        <v/>
      </c>
      <c r="BH25" s="85">
        <f>'Долговое финансирование'!BH13</f>
        <v/>
      </c>
      <c r="BI25" s="85">
        <f>'Долговое финансирование'!BI13</f>
        <v/>
      </c>
      <c r="BJ25" s="85">
        <f>'Долговое финансирование'!BJ13</f>
        <v/>
      </c>
      <c r="BK25" s="85">
        <f>'Долговое финансирование'!BK13</f>
        <v/>
      </c>
      <c r="BL25" s="85">
        <f>'Долговое финансирование'!BL13</f>
        <v/>
      </c>
      <c r="BN25" s="85">
        <f>'Долговое финансирование'!BN13</f>
        <v/>
      </c>
      <c r="BO25" s="85">
        <f>'Долговое финансирование'!BO13</f>
        <v/>
      </c>
      <c r="BP25" s="85">
        <f>'Долговое финансирование'!BP13</f>
        <v/>
      </c>
      <c r="BQ25" s="85">
        <f>'Долговое финансирование'!BQ13</f>
        <v/>
      </c>
      <c r="BR25" s="85">
        <f>'Долговое финансирование'!BR13</f>
        <v/>
      </c>
    </row>
    <row r="26"/>
    <row r="27" ht="22" customHeight="1">
      <c r="A27" s="41" t="inlineStr">
        <is>
          <t xml:space="preserve">  ПРИБЫЛЬ ДО НАЛОГОВ</t>
        </is>
      </c>
    </row>
    <row r="28">
      <c r="A28" s="51" t="inlineStr">
        <is>
          <t xml:space="preserve"> = EBT (прибыль до налога, из Налоги)</t>
        </is>
      </c>
      <c r="B28" s="96" t="inlineStr">
        <is>
          <t>млн ₽</t>
        </is>
      </c>
      <c r="C28" s="67">
        <f>SUM(BN28:BR28)</f>
        <v/>
      </c>
      <c r="D28" s="45" t="inlineStr"/>
      <c r="E28" s="84">
        <f>'Налоги'!E11</f>
        <v/>
      </c>
      <c r="F28" s="84">
        <f>'Налоги'!F11</f>
        <v/>
      </c>
      <c r="G28" s="84">
        <f>'Налоги'!G11</f>
        <v/>
      </c>
      <c r="H28" s="84">
        <f>'Налоги'!H11</f>
        <v/>
      </c>
      <c r="I28" s="84">
        <f>'Налоги'!I11</f>
        <v/>
      </c>
      <c r="J28" s="84">
        <f>'Налоги'!J11</f>
        <v/>
      </c>
      <c r="K28" s="84">
        <f>'Налоги'!K11</f>
        <v/>
      </c>
      <c r="L28" s="84">
        <f>'Налоги'!L11</f>
        <v/>
      </c>
      <c r="M28" s="84">
        <f>'Налоги'!M11</f>
        <v/>
      </c>
      <c r="N28" s="84">
        <f>'Налоги'!N11</f>
        <v/>
      </c>
      <c r="O28" s="84">
        <f>'Налоги'!O11</f>
        <v/>
      </c>
      <c r="P28" s="84">
        <f>'Налоги'!P11</f>
        <v/>
      </c>
      <c r="Q28" s="84">
        <f>'Налоги'!Q11</f>
        <v/>
      </c>
      <c r="R28" s="84">
        <f>'Налоги'!R11</f>
        <v/>
      </c>
      <c r="S28" s="84">
        <f>'Налоги'!S11</f>
        <v/>
      </c>
      <c r="T28" s="84">
        <f>'Налоги'!T11</f>
        <v/>
      </c>
      <c r="U28" s="84">
        <f>'Налоги'!U11</f>
        <v/>
      </c>
      <c r="V28" s="84">
        <f>'Налоги'!V11</f>
        <v/>
      </c>
      <c r="W28" s="84">
        <f>'Налоги'!W11</f>
        <v/>
      </c>
      <c r="X28" s="84">
        <f>'Налоги'!X11</f>
        <v/>
      </c>
      <c r="Y28" s="84">
        <f>'Налоги'!Y11</f>
        <v/>
      </c>
      <c r="Z28" s="84">
        <f>'Налоги'!Z11</f>
        <v/>
      </c>
      <c r="AA28" s="84">
        <f>'Налоги'!AA11</f>
        <v/>
      </c>
      <c r="AB28" s="84">
        <f>'Налоги'!AB11</f>
        <v/>
      </c>
      <c r="AC28" s="84">
        <f>'Налоги'!AC11</f>
        <v/>
      </c>
      <c r="AD28" s="84">
        <f>'Налоги'!AD11</f>
        <v/>
      </c>
      <c r="AE28" s="84">
        <f>'Налоги'!AE11</f>
        <v/>
      </c>
      <c r="AF28" s="84">
        <f>'Налоги'!AF11</f>
        <v/>
      </c>
      <c r="AG28" s="84">
        <f>'Налоги'!AG11</f>
        <v/>
      </c>
      <c r="AH28" s="84">
        <f>'Налоги'!AH11</f>
        <v/>
      </c>
      <c r="AI28" s="84">
        <f>'Налоги'!AI11</f>
        <v/>
      </c>
      <c r="AJ28" s="84">
        <f>'Налоги'!AJ11</f>
        <v/>
      </c>
      <c r="AK28" s="84">
        <f>'Налоги'!AK11</f>
        <v/>
      </c>
      <c r="AL28" s="84">
        <f>'Налоги'!AL11</f>
        <v/>
      </c>
      <c r="AM28" s="84">
        <f>'Налоги'!AM11</f>
        <v/>
      </c>
      <c r="AN28" s="84">
        <f>'Налоги'!AN11</f>
        <v/>
      </c>
      <c r="AO28" s="84">
        <f>'Налоги'!AO11</f>
        <v/>
      </c>
      <c r="AP28" s="84">
        <f>'Налоги'!AP11</f>
        <v/>
      </c>
      <c r="AQ28" s="84">
        <f>'Налоги'!AQ11</f>
        <v/>
      </c>
      <c r="AR28" s="84">
        <f>'Налоги'!AR11</f>
        <v/>
      </c>
      <c r="AS28" s="84">
        <f>'Налоги'!AS11</f>
        <v/>
      </c>
      <c r="AT28" s="84">
        <f>'Налоги'!AT11</f>
        <v/>
      </c>
      <c r="AU28" s="84">
        <f>'Налоги'!AU11</f>
        <v/>
      </c>
      <c r="AV28" s="84">
        <f>'Налоги'!AV11</f>
        <v/>
      </c>
      <c r="AW28" s="84">
        <f>'Налоги'!AW11</f>
        <v/>
      </c>
      <c r="AX28" s="84">
        <f>'Налоги'!AX11</f>
        <v/>
      </c>
      <c r="AY28" s="84">
        <f>'Налоги'!AY11</f>
        <v/>
      </c>
      <c r="AZ28" s="84">
        <f>'Налоги'!AZ11</f>
        <v/>
      </c>
      <c r="BA28" s="84">
        <f>'Налоги'!BA11</f>
        <v/>
      </c>
      <c r="BB28" s="84">
        <f>'Налоги'!BB11</f>
        <v/>
      </c>
      <c r="BC28" s="84">
        <f>'Налоги'!BC11</f>
        <v/>
      </c>
      <c r="BD28" s="84">
        <f>'Налоги'!BD11</f>
        <v/>
      </c>
      <c r="BE28" s="84">
        <f>'Налоги'!BE11</f>
        <v/>
      </c>
      <c r="BF28" s="84">
        <f>'Налоги'!BF11</f>
        <v/>
      </c>
      <c r="BG28" s="84">
        <f>'Налоги'!BG11</f>
        <v/>
      </c>
      <c r="BH28" s="84">
        <f>'Налоги'!BH11</f>
        <v/>
      </c>
      <c r="BI28" s="84">
        <f>'Налоги'!BI11</f>
        <v/>
      </c>
      <c r="BJ28" s="84">
        <f>'Налоги'!BJ11</f>
        <v/>
      </c>
      <c r="BK28" s="84">
        <f>'Налоги'!BK11</f>
        <v/>
      </c>
      <c r="BL28" s="84">
        <f>'Налоги'!BL11</f>
        <v/>
      </c>
      <c r="BN28" s="84">
        <f>'Налоги'!BN11</f>
        <v/>
      </c>
      <c r="BO28" s="84">
        <f>'Налоги'!BO11</f>
        <v/>
      </c>
      <c r="BP28" s="84">
        <f>'Налоги'!BP11</f>
        <v/>
      </c>
      <c r="BQ28" s="84">
        <f>'Налоги'!BQ11</f>
        <v/>
      </c>
      <c r="BR28" s="84">
        <f>'Налоги'!BR11</f>
        <v/>
      </c>
    </row>
    <row r="29">
      <c r="A29" s="105" t="inlineStr">
        <is>
          <t xml:space="preserve">  EBT Margin %</t>
        </is>
      </c>
      <c r="B29" s="106" t="inlineStr">
        <is>
          <t>%</t>
        </is>
      </c>
      <c r="C29" s="48" t="inlineStr">
        <is>
          <t>—</t>
        </is>
      </c>
      <c r="D29" s="45" t="inlineStr"/>
      <c r="E29" s="83">
        <f>IFERROR(E28/E7,0)</f>
        <v/>
      </c>
      <c r="F29" s="83">
        <f>IFERROR(F28/F7,0)</f>
        <v/>
      </c>
      <c r="G29" s="83">
        <f>IFERROR(G28/G7,0)</f>
        <v/>
      </c>
      <c r="H29" s="83">
        <f>IFERROR(H28/H7,0)</f>
        <v/>
      </c>
      <c r="I29" s="83">
        <f>IFERROR(I28/I7,0)</f>
        <v/>
      </c>
      <c r="J29" s="83">
        <f>IFERROR(J28/J7,0)</f>
        <v/>
      </c>
      <c r="K29" s="83">
        <f>IFERROR(K28/K7,0)</f>
        <v/>
      </c>
      <c r="L29" s="83">
        <f>IFERROR(L28/L7,0)</f>
        <v/>
      </c>
      <c r="M29" s="83">
        <f>IFERROR(M28/M7,0)</f>
        <v/>
      </c>
      <c r="N29" s="83">
        <f>IFERROR(N28/N7,0)</f>
        <v/>
      </c>
      <c r="O29" s="83">
        <f>IFERROR(O28/O7,0)</f>
        <v/>
      </c>
      <c r="P29" s="83">
        <f>IFERROR(P28/P7,0)</f>
        <v/>
      </c>
      <c r="Q29" s="83">
        <f>IFERROR(Q28/Q7,0)</f>
        <v/>
      </c>
      <c r="R29" s="83">
        <f>IFERROR(R28/R7,0)</f>
        <v/>
      </c>
      <c r="S29" s="83">
        <f>IFERROR(S28/S7,0)</f>
        <v/>
      </c>
      <c r="T29" s="83">
        <f>IFERROR(T28/T7,0)</f>
        <v/>
      </c>
      <c r="U29" s="83">
        <f>IFERROR(U28/U7,0)</f>
        <v/>
      </c>
      <c r="V29" s="83">
        <f>IFERROR(V28/V7,0)</f>
        <v/>
      </c>
      <c r="W29" s="83">
        <f>IFERROR(W28/W7,0)</f>
        <v/>
      </c>
      <c r="X29" s="83">
        <f>IFERROR(X28/X7,0)</f>
        <v/>
      </c>
      <c r="Y29" s="83">
        <f>IFERROR(Y28/Y7,0)</f>
        <v/>
      </c>
      <c r="Z29" s="83">
        <f>IFERROR(Z28/Z7,0)</f>
        <v/>
      </c>
      <c r="AA29" s="83">
        <f>IFERROR(AA28/AA7,0)</f>
        <v/>
      </c>
      <c r="AB29" s="83">
        <f>IFERROR(AB28/AB7,0)</f>
        <v/>
      </c>
      <c r="AC29" s="83">
        <f>IFERROR(AC28/AC7,0)</f>
        <v/>
      </c>
      <c r="AD29" s="83">
        <f>IFERROR(AD28/AD7,0)</f>
        <v/>
      </c>
      <c r="AE29" s="83">
        <f>IFERROR(AE28/AE7,0)</f>
        <v/>
      </c>
      <c r="AF29" s="83">
        <f>IFERROR(AF28/AF7,0)</f>
        <v/>
      </c>
      <c r="AG29" s="83">
        <f>IFERROR(AG28/AG7,0)</f>
        <v/>
      </c>
      <c r="AH29" s="83">
        <f>IFERROR(AH28/AH7,0)</f>
        <v/>
      </c>
      <c r="AI29" s="83">
        <f>IFERROR(AI28/AI7,0)</f>
        <v/>
      </c>
      <c r="AJ29" s="83">
        <f>IFERROR(AJ28/AJ7,0)</f>
        <v/>
      </c>
      <c r="AK29" s="83">
        <f>IFERROR(AK28/AK7,0)</f>
        <v/>
      </c>
      <c r="AL29" s="83">
        <f>IFERROR(AL28/AL7,0)</f>
        <v/>
      </c>
      <c r="AM29" s="83">
        <f>IFERROR(AM28/AM7,0)</f>
        <v/>
      </c>
      <c r="AN29" s="83">
        <f>IFERROR(AN28/AN7,0)</f>
        <v/>
      </c>
      <c r="AO29" s="83">
        <f>IFERROR(AO28/AO7,0)</f>
        <v/>
      </c>
      <c r="AP29" s="83">
        <f>IFERROR(AP28/AP7,0)</f>
        <v/>
      </c>
      <c r="AQ29" s="83">
        <f>IFERROR(AQ28/AQ7,0)</f>
        <v/>
      </c>
      <c r="AR29" s="83">
        <f>IFERROR(AR28/AR7,0)</f>
        <v/>
      </c>
      <c r="AS29" s="83">
        <f>IFERROR(AS28/AS7,0)</f>
        <v/>
      </c>
      <c r="AT29" s="83">
        <f>IFERROR(AT28/AT7,0)</f>
        <v/>
      </c>
      <c r="AU29" s="83">
        <f>IFERROR(AU28/AU7,0)</f>
        <v/>
      </c>
      <c r="AV29" s="83">
        <f>IFERROR(AV28/AV7,0)</f>
        <v/>
      </c>
      <c r="AW29" s="83">
        <f>IFERROR(AW28/AW7,0)</f>
        <v/>
      </c>
      <c r="AX29" s="83">
        <f>IFERROR(AX28/AX7,0)</f>
        <v/>
      </c>
      <c r="AY29" s="83">
        <f>IFERROR(AY28/AY7,0)</f>
        <v/>
      </c>
      <c r="AZ29" s="83">
        <f>IFERROR(AZ28/AZ7,0)</f>
        <v/>
      </c>
      <c r="BA29" s="83">
        <f>IFERROR(BA28/BA7,0)</f>
        <v/>
      </c>
      <c r="BB29" s="83">
        <f>IFERROR(BB28/BB7,0)</f>
        <v/>
      </c>
      <c r="BC29" s="83">
        <f>IFERROR(BC28/BC7,0)</f>
        <v/>
      </c>
      <c r="BD29" s="83">
        <f>IFERROR(BD28/BD7,0)</f>
        <v/>
      </c>
      <c r="BE29" s="83">
        <f>IFERROR(BE28/BE7,0)</f>
        <v/>
      </c>
      <c r="BF29" s="83">
        <f>IFERROR(BF28/BF7,0)</f>
        <v/>
      </c>
      <c r="BG29" s="83">
        <f>IFERROR(BG28/BG7,0)</f>
        <v/>
      </c>
      <c r="BH29" s="83">
        <f>IFERROR(BH28/BH7,0)</f>
        <v/>
      </c>
      <c r="BI29" s="83">
        <f>IFERROR(BI28/BI7,0)</f>
        <v/>
      </c>
      <c r="BJ29" s="83">
        <f>IFERROR(BJ28/BJ7,0)</f>
        <v/>
      </c>
      <c r="BK29" s="83">
        <f>IFERROR(BK28/BK7,0)</f>
        <v/>
      </c>
      <c r="BL29" s="83">
        <f>IFERROR(BL28/BL7,0)</f>
        <v/>
      </c>
      <c r="BN29" s="83">
        <f>IFERROR(BN28/BN7,0)</f>
        <v/>
      </c>
      <c r="BO29" s="83">
        <f>IFERROR(BO28/BO7,0)</f>
        <v/>
      </c>
      <c r="BP29" s="83">
        <f>IFERROR(BP28/BP7,0)</f>
        <v/>
      </c>
      <c r="BQ29" s="83">
        <f>IFERROR(BQ28/BQ7,0)</f>
        <v/>
      </c>
      <c r="BR29" s="83">
        <f>IFERROR(BR28/BR7,0)</f>
        <v/>
      </c>
    </row>
    <row r="30"/>
    <row r="31" ht="22" customHeight="1">
      <c r="A31" s="62" t="inlineStr">
        <is>
          <t xml:space="preserve">  НАЛОГ НА ПРИБЫЛЬ</t>
        </is>
      </c>
    </row>
    <row r="32">
      <c r="A32" s="105" t="inlineStr">
        <is>
          <t>Ставка налога на прибыль (из Input, ставка своего года)</t>
        </is>
      </c>
      <c r="B32" s="106" t="inlineStr">
        <is>
          <t>%</t>
        </is>
      </c>
      <c r="C32" s="48" t="inlineStr">
        <is>
          <t>—</t>
        </is>
      </c>
      <c r="D32" s="45" t="inlineStr"/>
      <c r="E32" s="92">
        <f>Input!BN89</f>
        <v/>
      </c>
      <c r="F32" s="92">
        <f>Input!BN89</f>
        <v/>
      </c>
      <c r="G32" s="92">
        <f>Input!BN89</f>
        <v/>
      </c>
      <c r="H32" s="92">
        <f>Input!BN89</f>
        <v/>
      </c>
      <c r="I32" s="92">
        <f>Input!BN89</f>
        <v/>
      </c>
      <c r="J32" s="92">
        <f>Input!BN89</f>
        <v/>
      </c>
      <c r="K32" s="92">
        <f>Input!BN89</f>
        <v/>
      </c>
      <c r="L32" s="92">
        <f>Input!BN89</f>
        <v/>
      </c>
      <c r="M32" s="92">
        <f>Input!BN89</f>
        <v/>
      </c>
      <c r="N32" s="92">
        <f>Input!BN89</f>
        <v/>
      </c>
      <c r="O32" s="92">
        <f>Input!BN89</f>
        <v/>
      </c>
      <c r="P32" s="92">
        <f>Input!BN89</f>
        <v/>
      </c>
      <c r="Q32" s="92">
        <f>Input!BO89</f>
        <v/>
      </c>
      <c r="R32" s="92">
        <f>Input!BO89</f>
        <v/>
      </c>
      <c r="S32" s="92">
        <f>Input!BO89</f>
        <v/>
      </c>
      <c r="T32" s="92">
        <f>Input!BO89</f>
        <v/>
      </c>
      <c r="U32" s="92">
        <f>Input!BO89</f>
        <v/>
      </c>
      <c r="V32" s="92">
        <f>Input!BO89</f>
        <v/>
      </c>
      <c r="W32" s="92">
        <f>Input!BO89</f>
        <v/>
      </c>
      <c r="X32" s="92">
        <f>Input!BO89</f>
        <v/>
      </c>
      <c r="Y32" s="92">
        <f>Input!BO89</f>
        <v/>
      </c>
      <c r="Z32" s="92">
        <f>Input!BO89</f>
        <v/>
      </c>
      <c r="AA32" s="92">
        <f>Input!BO89</f>
        <v/>
      </c>
      <c r="AB32" s="92">
        <f>Input!BO89</f>
        <v/>
      </c>
      <c r="AC32" s="92">
        <f>Input!BP89</f>
        <v/>
      </c>
      <c r="AD32" s="92">
        <f>Input!BP89</f>
        <v/>
      </c>
      <c r="AE32" s="92">
        <f>Input!BP89</f>
        <v/>
      </c>
      <c r="AF32" s="92">
        <f>Input!BP89</f>
        <v/>
      </c>
      <c r="AG32" s="92">
        <f>Input!BP89</f>
        <v/>
      </c>
      <c r="AH32" s="92">
        <f>Input!BP89</f>
        <v/>
      </c>
      <c r="AI32" s="92">
        <f>Input!BP89</f>
        <v/>
      </c>
      <c r="AJ32" s="92">
        <f>Input!BP89</f>
        <v/>
      </c>
      <c r="AK32" s="92">
        <f>Input!BP89</f>
        <v/>
      </c>
      <c r="AL32" s="92">
        <f>Input!BP89</f>
        <v/>
      </c>
      <c r="AM32" s="92">
        <f>Input!BP89</f>
        <v/>
      </c>
      <c r="AN32" s="92">
        <f>Input!BP89</f>
        <v/>
      </c>
      <c r="AO32" s="92">
        <f>Input!BQ89</f>
        <v/>
      </c>
      <c r="AP32" s="92">
        <f>Input!BQ89</f>
        <v/>
      </c>
      <c r="AQ32" s="92">
        <f>Input!BQ89</f>
        <v/>
      </c>
      <c r="AR32" s="92">
        <f>Input!BQ89</f>
        <v/>
      </c>
      <c r="AS32" s="92">
        <f>Input!BQ89</f>
        <v/>
      </c>
      <c r="AT32" s="92">
        <f>Input!BQ89</f>
        <v/>
      </c>
      <c r="AU32" s="92">
        <f>Input!BQ89</f>
        <v/>
      </c>
      <c r="AV32" s="92">
        <f>Input!BQ89</f>
        <v/>
      </c>
      <c r="AW32" s="92">
        <f>Input!BQ89</f>
        <v/>
      </c>
      <c r="AX32" s="92">
        <f>Input!BQ89</f>
        <v/>
      </c>
      <c r="AY32" s="92">
        <f>Input!BQ89</f>
        <v/>
      </c>
      <c r="AZ32" s="92">
        <f>Input!BQ89</f>
        <v/>
      </c>
      <c r="BA32" s="92">
        <f>Input!BR89</f>
        <v/>
      </c>
      <c r="BB32" s="92">
        <f>Input!BR89</f>
        <v/>
      </c>
      <c r="BC32" s="92">
        <f>Input!BR89</f>
        <v/>
      </c>
      <c r="BD32" s="92">
        <f>Input!BR89</f>
        <v/>
      </c>
      <c r="BE32" s="92">
        <f>Input!BR89</f>
        <v/>
      </c>
      <c r="BF32" s="92">
        <f>Input!BR89</f>
        <v/>
      </c>
      <c r="BG32" s="92">
        <f>Input!BR89</f>
        <v/>
      </c>
      <c r="BH32" s="92">
        <f>Input!BR89</f>
        <v/>
      </c>
      <c r="BI32" s="92">
        <f>Input!BR89</f>
        <v/>
      </c>
      <c r="BJ32" s="92">
        <f>Input!BR89</f>
        <v/>
      </c>
      <c r="BK32" s="92">
        <f>Input!BR89</f>
        <v/>
      </c>
      <c r="BL32" s="92">
        <f>Input!BR89</f>
        <v/>
      </c>
    </row>
    <row r="33">
      <c r="A33" s="93" t="inlineStr">
        <is>
          <t>− Налог на прибыль (из Налоги)</t>
        </is>
      </c>
      <c r="B33" s="97" t="inlineStr">
        <is>
          <t>млн ₽</t>
        </is>
      </c>
      <c r="C33" s="53">
        <f>SUM(BN33:BR33)</f>
        <v/>
      </c>
      <c r="D33" s="45" t="inlineStr"/>
      <c r="E33" s="85">
        <f>'Налоги'!E16</f>
        <v/>
      </c>
      <c r="F33" s="85">
        <f>'Налоги'!F16</f>
        <v/>
      </c>
      <c r="G33" s="85">
        <f>'Налоги'!G16</f>
        <v/>
      </c>
      <c r="H33" s="85">
        <f>'Налоги'!H16</f>
        <v/>
      </c>
      <c r="I33" s="85">
        <f>'Налоги'!I16</f>
        <v/>
      </c>
      <c r="J33" s="85">
        <f>'Налоги'!J16</f>
        <v/>
      </c>
      <c r="K33" s="85">
        <f>'Налоги'!K16</f>
        <v/>
      </c>
      <c r="L33" s="85">
        <f>'Налоги'!L16</f>
        <v/>
      </c>
      <c r="M33" s="85">
        <f>'Налоги'!M16</f>
        <v/>
      </c>
      <c r="N33" s="85">
        <f>'Налоги'!N16</f>
        <v/>
      </c>
      <c r="O33" s="85">
        <f>'Налоги'!O16</f>
        <v/>
      </c>
      <c r="P33" s="85">
        <f>'Налоги'!P16</f>
        <v/>
      </c>
      <c r="Q33" s="85">
        <f>'Налоги'!Q16</f>
        <v/>
      </c>
      <c r="R33" s="85">
        <f>'Налоги'!R16</f>
        <v/>
      </c>
      <c r="S33" s="85">
        <f>'Налоги'!S16</f>
        <v/>
      </c>
      <c r="T33" s="85">
        <f>'Налоги'!T16</f>
        <v/>
      </c>
      <c r="U33" s="85">
        <f>'Налоги'!U16</f>
        <v/>
      </c>
      <c r="V33" s="85">
        <f>'Налоги'!V16</f>
        <v/>
      </c>
      <c r="W33" s="85">
        <f>'Налоги'!W16</f>
        <v/>
      </c>
      <c r="X33" s="85">
        <f>'Налоги'!X16</f>
        <v/>
      </c>
      <c r="Y33" s="85">
        <f>'Налоги'!Y16</f>
        <v/>
      </c>
      <c r="Z33" s="85">
        <f>'Налоги'!Z16</f>
        <v/>
      </c>
      <c r="AA33" s="85">
        <f>'Налоги'!AA16</f>
        <v/>
      </c>
      <c r="AB33" s="85">
        <f>'Налоги'!AB16</f>
        <v/>
      </c>
      <c r="AC33" s="85">
        <f>'Налоги'!AC16</f>
        <v/>
      </c>
      <c r="AD33" s="85">
        <f>'Налоги'!AD16</f>
        <v/>
      </c>
      <c r="AE33" s="85">
        <f>'Налоги'!AE16</f>
        <v/>
      </c>
      <c r="AF33" s="85">
        <f>'Налоги'!AF16</f>
        <v/>
      </c>
      <c r="AG33" s="85">
        <f>'Налоги'!AG16</f>
        <v/>
      </c>
      <c r="AH33" s="85">
        <f>'Налоги'!AH16</f>
        <v/>
      </c>
      <c r="AI33" s="85">
        <f>'Налоги'!AI16</f>
        <v/>
      </c>
      <c r="AJ33" s="85">
        <f>'Налоги'!AJ16</f>
        <v/>
      </c>
      <c r="AK33" s="85">
        <f>'Налоги'!AK16</f>
        <v/>
      </c>
      <c r="AL33" s="85">
        <f>'Налоги'!AL16</f>
        <v/>
      </c>
      <c r="AM33" s="85">
        <f>'Налоги'!AM16</f>
        <v/>
      </c>
      <c r="AN33" s="85">
        <f>'Налоги'!AN16</f>
        <v/>
      </c>
      <c r="AO33" s="85">
        <f>'Налоги'!AO16</f>
        <v/>
      </c>
      <c r="AP33" s="85">
        <f>'Налоги'!AP16</f>
        <v/>
      </c>
      <c r="AQ33" s="85">
        <f>'Налоги'!AQ16</f>
        <v/>
      </c>
      <c r="AR33" s="85">
        <f>'Налоги'!AR16</f>
        <v/>
      </c>
      <c r="AS33" s="85">
        <f>'Налоги'!AS16</f>
        <v/>
      </c>
      <c r="AT33" s="85">
        <f>'Налоги'!AT16</f>
        <v/>
      </c>
      <c r="AU33" s="85">
        <f>'Налоги'!AU16</f>
        <v/>
      </c>
      <c r="AV33" s="85">
        <f>'Налоги'!AV16</f>
        <v/>
      </c>
      <c r="AW33" s="85">
        <f>'Налоги'!AW16</f>
        <v/>
      </c>
      <c r="AX33" s="85">
        <f>'Налоги'!AX16</f>
        <v/>
      </c>
      <c r="AY33" s="85">
        <f>'Налоги'!AY16</f>
        <v/>
      </c>
      <c r="AZ33" s="85">
        <f>'Налоги'!AZ16</f>
        <v/>
      </c>
      <c r="BA33" s="85">
        <f>'Налоги'!BA16</f>
        <v/>
      </c>
      <c r="BB33" s="85">
        <f>'Налоги'!BB16</f>
        <v/>
      </c>
      <c r="BC33" s="85">
        <f>'Налоги'!BC16</f>
        <v/>
      </c>
      <c r="BD33" s="85">
        <f>'Налоги'!BD16</f>
        <v/>
      </c>
      <c r="BE33" s="85">
        <f>'Налоги'!BE16</f>
        <v/>
      </c>
      <c r="BF33" s="85">
        <f>'Налоги'!BF16</f>
        <v/>
      </c>
      <c r="BG33" s="85">
        <f>'Налоги'!BG16</f>
        <v/>
      </c>
      <c r="BH33" s="85">
        <f>'Налоги'!BH16</f>
        <v/>
      </c>
      <c r="BI33" s="85">
        <f>'Налоги'!BI16</f>
        <v/>
      </c>
      <c r="BJ33" s="85">
        <f>'Налоги'!BJ16</f>
        <v/>
      </c>
      <c r="BK33" s="85">
        <f>'Налоги'!BK16</f>
        <v/>
      </c>
      <c r="BL33" s="85">
        <f>'Налоги'!BL16</f>
        <v/>
      </c>
      <c r="BN33" s="85">
        <f>'Налоги'!BN16</f>
        <v/>
      </c>
      <c r="BO33" s="85">
        <f>'Налоги'!BO16</f>
        <v/>
      </c>
      <c r="BP33" s="85">
        <f>'Налоги'!BP16</f>
        <v/>
      </c>
      <c r="BQ33" s="85">
        <f>'Налоги'!BQ16</f>
        <v/>
      </c>
      <c r="BR33" s="85">
        <f>'Налоги'!BR16</f>
        <v/>
      </c>
    </row>
    <row r="34"/>
    <row r="35" ht="22" customHeight="1">
      <c r="A35" s="78" t="inlineStr">
        <is>
          <t xml:space="preserve">  ЧИСТАЯ ПРИБЫЛЬ</t>
        </is>
      </c>
    </row>
    <row r="36">
      <c r="A36" s="80" t="inlineStr">
        <is>
          <t xml:space="preserve"> = Net Income (чистая прибыль, из Налоги)</t>
        </is>
      </c>
      <c r="B36" s="98" t="inlineStr">
        <is>
          <t>млн ₽</t>
        </is>
      </c>
      <c r="C36" s="82">
        <f>SUM(BN36:BR36)</f>
        <v/>
      </c>
      <c r="D36" s="45" t="inlineStr"/>
      <c r="E36" s="82">
        <f>Налоги!E17</f>
        <v/>
      </c>
      <c r="F36" s="82">
        <f>Налоги!F17</f>
        <v/>
      </c>
      <c r="G36" s="82">
        <f>Налоги!G17</f>
        <v/>
      </c>
      <c r="H36" s="82">
        <f>Налоги!H17</f>
        <v/>
      </c>
      <c r="I36" s="82">
        <f>Налоги!I17</f>
        <v/>
      </c>
      <c r="J36" s="82">
        <f>Налоги!J17</f>
        <v/>
      </c>
      <c r="K36" s="82">
        <f>Налоги!K17</f>
        <v/>
      </c>
      <c r="L36" s="82">
        <f>Налоги!L17</f>
        <v/>
      </c>
      <c r="M36" s="82">
        <f>Налоги!M17</f>
        <v/>
      </c>
      <c r="N36" s="82">
        <f>Налоги!N17</f>
        <v/>
      </c>
      <c r="O36" s="82">
        <f>Налоги!O17</f>
        <v/>
      </c>
      <c r="P36" s="82">
        <f>Налоги!P17</f>
        <v/>
      </c>
      <c r="Q36" s="82">
        <f>Налоги!Q17</f>
        <v/>
      </c>
      <c r="R36" s="82">
        <f>Налоги!R17</f>
        <v/>
      </c>
      <c r="S36" s="82">
        <f>Налоги!S17</f>
        <v/>
      </c>
      <c r="T36" s="82">
        <f>Налоги!T17</f>
        <v/>
      </c>
      <c r="U36" s="82">
        <f>Налоги!U17</f>
        <v/>
      </c>
      <c r="V36" s="82">
        <f>Налоги!V17</f>
        <v/>
      </c>
      <c r="W36" s="82">
        <f>Налоги!W17</f>
        <v/>
      </c>
      <c r="X36" s="82">
        <f>Налоги!X17</f>
        <v/>
      </c>
      <c r="Y36" s="82">
        <f>Налоги!Y17</f>
        <v/>
      </c>
      <c r="Z36" s="82">
        <f>Налоги!Z17</f>
        <v/>
      </c>
      <c r="AA36" s="82">
        <f>Налоги!AA17</f>
        <v/>
      </c>
      <c r="AB36" s="82">
        <f>Налоги!AB17</f>
        <v/>
      </c>
      <c r="AC36" s="82">
        <f>Налоги!AC17</f>
        <v/>
      </c>
      <c r="AD36" s="82">
        <f>Налоги!AD17</f>
        <v/>
      </c>
      <c r="AE36" s="82">
        <f>Налоги!AE17</f>
        <v/>
      </c>
      <c r="AF36" s="82">
        <f>Налоги!AF17</f>
        <v/>
      </c>
      <c r="AG36" s="82">
        <f>Налоги!AG17</f>
        <v/>
      </c>
      <c r="AH36" s="82">
        <f>Налоги!AH17</f>
        <v/>
      </c>
      <c r="AI36" s="82">
        <f>Налоги!AI17</f>
        <v/>
      </c>
      <c r="AJ36" s="82">
        <f>Налоги!AJ17</f>
        <v/>
      </c>
      <c r="AK36" s="82">
        <f>Налоги!AK17</f>
        <v/>
      </c>
      <c r="AL36" s="82">
        <f>Налоги!AL17</f>
        <v/>
      </c>
      <c r="AM36" s="82">
        <f>Налоги!AM17</f>
        <v/>
      </c>
      <c r="AN36" s="82">
        <f>Налоги!AN17</f>
        <v/>
      </c>
      <c r="AO36" s="82">
        <f>Налоги!AO17</f>
        <v/>
      </c>
      <c r="AP36" s="82">
        <f>Налоги!AP17</f>
        <v/>
      </c>
      <c r="AQ36" s="82">
        <f>Налоги!AQ17</f>
        <v/>
      </c>
      <c r="AR36" s="82">
        <f>Налоги!AR17</f>
        <v/>
      </c>
      <c r="AS36" s="82">
        <f>Налоги!AS17</f>
        <v/>
      </c>
      <c r="AT36" s="82">
        <f>Налоги!AT17</f>
        <v/>
      </c>
      <c r="AU36" s="82">
        <f>Налоги!AU17</f>
        <v/>
      </c>
      <c r="AV36" s="82">
        <f>Налоги!AV17</f>
        <v/>
      </c>
      <c r="AW36" s="82">
        <f>Налоги!AW17</f>
        <v/>
      </c>
      <c r="AX36" s="82">
        <f>Налоги!AX17</f>
        <v/>
      </c>
      <c r="AY36" s="82">
        <f>Налоги!AY17</f>
        <v/>
      </c>
      <c r="AZ36" s="82">
        <f>Налоги!AZ17</f>
        <v/>
      </c>
      <c r="BA36" s="82">
        <f>Налоги!BA17</f>
        <v/>
      </c>
      <c r="BB36" s="82">
        <f>Налоги!BB17</f>
        <v/>
      </c>
      <c r="BC36" s="82">
        <f>Налоги!BC17</f>
        <v/>
      </c>
      <c r="BD36" s="82">
        <f>Налоги!BD17</f>
        <v/>
      </c>
      <c r="BE36" s="82">
        <f>Налоги!BE17</f>
        <v/>
      </c>
      <c r="BF36" s="82">
        <f>Налоги!BF17</f>
        <v/>
      </c>
      <c r="BG36" s="82">
        <f>Налоги!BG17</f>
        <v/>
      </c>
      <c r="BH36" s="82">
        <f>Налоги!BH17</f>
        <v/>
      </c>
      <c r="BI36" s="82">
        <f>Налоги!BI17</f>
        <v/>
      </c>
      <c r="BJ36" s="82">
        <f>Налоги!BJ17</f>
        <v/>
      </c>
      <c r="BK36" s="82">
        <f>Налоги!BK17</f>
        <v/>
      </c>
      <c r="BL36" s="82">
        <f>Налоги!BL17</f>
        <v/>
      </c>
      <c r="BN36" s="82">
        <f>Налоги!BN17</f>
        <v/>
      </c>
      <c r="BO36" s="82">
        <f>Налоги!BO17</f>
        <v/>
      </c>
      <c r="BP36" s="82">
        <f>Налоги!BP17</f>
        <v/>
      </c>
      <c r="BQ36" s="82">
        <f>Налоги!BQ17</f>
        <v/>
      </c>
      <c r="BR36" s="82">
        <f>Налоги!BR17</f>
        <v/>
      </c>
    </row>
    <row r="37">
      <c r="A37" s="105" t="inlineStr">
        <is>
          <t xml:space="preserve">  Net Margin %</t>
        </is>
      </c>
      <c r="B37" s="106" t="inlineStr">
        <is>
          <t>%</t>
        </is>
      </c>
      <c r="C37" s="48" t="inlineStr">
        <is>
          <t>—</t>
        </is>
      </c>
      <c r="D37" s="45" t="inlineStr"/>
      <c r="E37" s="83">
        <f>IFERROR(E36/E7,0)</f>
        <v/>
      </c>
      <c r="F37" s="83">
        <f>IFERROR(F36/F7,0)</f>
        <v/>
      </c>
      <c r="G37" s="83">
        <f>IFERROR(G36/G7,0)</f>
        <v/>
      </c>
      <c r="H37" s="83">
        <f>IFERROR(H36/H7,0)</f>
        <v/>
      </c>
      <c r="I37" s="83">
        <f>IFERROR(I36/I7,0)</f>
        <v/>
      </c>
      <c r="J37" s="83">
        <f>IFERROR(J36/J7,0)</f>
        <v/>
      </c>
      <c r="K37" s="83">
        <f>IFERROR(K36/K7,0)</f>
        <v/>
      </c>
      <c r="L37" s="83">
        <f>IFERROR(L36/L7,0)</f>
        <v/>
      </c>
      <c r="M37" s="83">
        <f>IFERROR(M36/M7,0)</f>
        <v/>
      </c>
      <c r="N37" s="83">
        <f>IFERROR(N36/N7,0)</f>
        <v/>
      </c>
      <c r="O37" s="83">
        <f>IFERROR(O36/O7,0)</f>
        <v/>
      </c>
      <c r="P37" s="83">
        <f>IFERROR(P36/P7,0)</f>
        <v/>
      </c>
      <c r="Q37" s="83">
        <f>IFERROR(Q36/Q7,0)</f>
        <v/>
      </c>
      <c r="R37" s="83">
        <f>IFERROR(R36/R7,0)</f>
        <v/>
      </c>
      <c r="S37" s="83">
        <f>IFERROR(S36/S7,0)</f>
        <v/>
      </c>
      <c r="T37" s="83">
        <f>IFERROR(T36/T7,0)</f>
        <v/>
      </c>
      <c r="U37" s="83">
        <f>IFERROR(U36/U7,0)</f>
        <v/>
      </c>
      <c r="V37" s="83">
        <f>IFERROR(V36/V7,0)</f>
        <v/>
      </c>
      <c r="W37" s="83">
        <f>IFERROR(W36/W7,0)</f>
        <v/>
      </c>
      <c r="X37" s="83">
        <f>IFERROR(X36/X7,0)</f>
        <v/>
      </c>
      <c r="Y37" s="83">
        <f>IFERROR(Y36/Y7,0)</f>
        <v/>
      </c>
      <c r="Z37" s="83">
        <f>IFERROR(Z36/Z7,0)</f>
        <v/>
      </c>
      <c r="AA37" s="83">
        <f>IFERROR(AA36/AA7,0)</f>
        <v/>
      </c>
      <c r="AB37" s="83">
        <f>IFERROR(AB36/AB7,0)</f>
        <v/>
      </c>
      <c r="AC37" s="83">
        <f>IFERROR(AC36/AC7,0)</f>
        <v/>
      </c>
      <c r="AD37" s="83">
        <f>IFERROR(AD36/AD7,0)</f>
        <v/>
      </c>
      <c r="AE37" s="83">
        <f>IFERROR(AE36/AE7,0)</f>
        <v/>
      </c>
      <c r="AF37" s="83">
        <f>IFERROR(AF36/AF7,0)</f>
        <v/>
      </c>
      <c r="AG37" s="83">
        <f>IFERROR(AG36/AG7,0)</f>
        <v/>
      </c>
      <c r="AH37" s="83">
        <f>IFERROR(AH36/AH7,0)</f>
        <v/>
      </c>
      <c r="AI37" s="83">
        <f>IFERROR(AI36/AI7,0)</f>
        <v/>
      </c>
      <c r="AJ37" s="83">
        <f>IFERROR(AJ36/AJ7,0)</f>
        <v/>
      </c>
      <c r="AK37" s="83">
        <f>IFERROR(AK36/AK7,0)</f>
        <v/>
      </c>
      <c r="AL37" s="83">
        <f>IFERROR(AL36/AL7,0)</f>
        <v/>
      </c>
      <c r="AM37" s="83">
        <f>IFERROR(AM36/AM7,0)</f>
        <v/>
      </c>
      <c r="AN37" s="83">
        <f>IFERROR(AN36/AN7,0)</f>
        <v/>
      </c>
      <c r="AO37" s="83">
        <f>IFERROR(AO36/AO7,0)</f>
        <v/>
      </c>
      <c r="AP37" s="83">
        <f>IFERROR(AP36/AP7,0)</f>
        <v/>
      </c>
      <c r="AQ37" s="83">
        <f>IFERROR(AQ36/AQ7,0)</f>
        <v/>
      </c>
      <c r="AR37" s="83">
        <f>IFERROR(AR36/AR7,0)</f>
        <v/>
      </c>
      <c r="AS37" s="83">
        <f>IFERROR(AS36/AS7,0)</f>
        <v/>
      </c>
      <c r="AT37" s="83">
        <f>IFERROR(AT36/AT7,0)</f>
        <v/>
      </c>
      <c r="AU37" s="83">
        <f>IFERROR(AU36/AU7,0)</f>
        <v/>
      </c>
      <c r="AV37" s="83">
        <f>IFERROR(AV36/AV7,0)</f>
        <v/>
      </c>
      <c r="AW37" s="83">
        <f>IFERROR(AW36/AW7,0)</f>
        <v/>
      </c>
      <c r="AX37" s="83">
        <f>IFERROR(AX36/AX7,0)</f>
        <v/>
      </c>
      <c r="AY37" s="83">
        <f>IFERROR(AY36/AY7,0)</f>
        <v/>
      </c>
      <c r="AZ37" s="83">
        <f>IFERROR(AZ36/AZ7,0)</f>
        <v/>
      </c>
      <c r="BA37" s="83">
        <f>IFERROR(BA36/BA7,0)</f>
        <v/>
      </c>
      <c r="BB37" s="83">
        <f>IFERROR(BB36/BB7,0)</f>
        <v/>
      </c>
      <c r="BC37" s="83">
        <f>IFERROR(BC36/BC7,0)</f>
        <v/>
      </c>
      <c r="BD37" s="83">
        <f>IFERROR(BD36/BD7,0)</f>
        <v/>
      </c>
      <c r="BE37" s="83">
        <f>IFERROR(BE36/BE7,0)</f>
        <v/>
      </c>
      <c r="BF37" s="83">
        <f>IFERROR(BF36/BF7,0)</f>
        <v/>
      </c>
      <c r="BG37" s="83">
        <f>IFERROR(BG36/BG7,0)</f>
        <v/>
      </c>
      <c r="BH37" s="83">
        <f>IFERROR(BH36/BH7,0)</f>
        <v/>
      </c>
      <c r="BI37" s="83">
        <f>IFERROR(BI36/BI7,0)</f>
        <v/>
      </c>
      <c r="BJ37" s="83">
        <f>IFERROR(BJ36/BJ7,0)</f>
        <v/>
      </c>
      <c r="BK37" s="83">
        <f>IFERROR(BK36/BK7,0)</f>
        <v/>
      </c>
      <c r="BL37" s="83">
        <f>IFERROR(BL36/BL7,0)</f>
        <v/>
      </c>
      <c r="BN37" s="83">
        <f>IFERROR(BN36/BN7,0)</f>
        <v/>
      </c>
      <c r="BO37" s="83">
        <f>IFERROR(BO36/BO7,0)</f>
        <v/>
      </c>
      <c r="BP37" s="83">
        <f>IFERROR(BP36/BP7,0)</f>
        <v/>
      </c>
      <c r="BQ37" s="83">
        <f>IFERROR(BQ36/BQ7,0)</f>
        <v/>
      </c>
      <c r="BR37" s="83">
        <f>IFERROR(BR36/BR7,0)</f>
        <v/>
      </c>
    </row>
    <row r="39" ht="22" customHeight="1">
      <c r="A39" s="41" t="inlineStr">
        <is>
          <t xml:space="preserve">  КЛЮЧЕВЫЕ МЕТРИКИ (годовые)</t>
        </is>
      </c>
    </row>
    <row r="40">
      <c r="A40" s="105" t="inlineStr">
        <is>
          <t xml:space="preserve">  Gross Margin %</t>
        </is>
      </c>
      <c r="B40" s="106" t="inlineStr">
        <is>
          <t>%</t>
        </is>
      </c>
      <c r="C40" s="48" t="inlineStr">
        <is>
          <t>—</t>
        </is>
      </c>
      <c r="D40" s="45" t="inlineStr"/>
      <c r="E40" s="83">
        <f>IFERROR(E11/E7,0)</f>
        <v/>
      </c>
      <c r="F40" s="83">
        <f>IFERROR(F11/F7,0)</f>
        <v/>
      </c>
      <c r="G40" s="83">
        <f>IFERROR(G11/G7,0)</f>
        <v/>
      </c>
      <c r="H40" s="83">
        <f>IFERROR(H11/H7,0)</f>
        <v/>
      </c>
      <c r="I40" s="83">
        <f>IFERROR(I11/I7,0)</f>
        <v/>
      </c>
      <c r="J40" s="83">
        <f>IFERROR(J11/J7,0)</f>
        <v/>
      </c>
      <c r="K40" s="83">
        <f>IFERROR(K11/K7,0)</f>
        <v/>
      </c>
      <c r="L40" s="83">
        <f>IFERROR(L11/L7,0)</f>
        <v/>
      </c>
      <c r="M40" s="83">
        <f>IFERROR(M11/M7,0)</f>
        <v/>
      </c>
      <c r="N40" s="83">
        <f>IFERROR(N11/N7,0)</f>
        <v/>
      </c>
      <c r="O40" s="83">
        <f>IFERROR(O11/O7,0)</f>
        <v/>
      </c>
      <c r="P40" s="83">
        <f>IFERROR(P11/P7,0)</f>
        <v/>
      </c>
      <c r="Q40" s="83">
        <f>IFERROR(Q11/Q7,0)</f>
        <v/>
      </c>
      <c r="R40" s="83">
        <f>IFERROR(R11/R7,0)</f>
        <v/>
      </c>
      <c r="S40" s="83">
        <f>IFERROR(S11/S7,0)</f>
        <v/>
      </c>
      <c r="T40" s="83">
        <f>IFERROR(T11/T7,0)</f>
        <v/>
      </c>
      <c r="U40" s="83">
        <f>IFERROR(U11/U7,0)</f>
        <v/>
      </c>
      <c r="V40" s="83">
        <f>IFERROR(V11/V7,0)</f>
        <v/>
      </c>
      <c r="W40" s="83">
        <f>IFERROR(W11/W7,0)</f>
        <v/>
      </c>
      <c r="X40" s="83">
        <f>IFERROR(X11/X7,0)</f>
        <v/>
      </c>
      <c r="Y40" s="83">
        <f>IFERROR(Y11/Y7,0)</f>
        <v/>
      </c>
      <c r="Z40" s="83">
        <f>IFERROR(Z11/Z7,0)</f>
        <v/>
      </c>
      <c r="AA40" s="83">
        <f>IFERROR(AA11/AA7,0)</f>
        <v/>
      </c>
      <c r="AB40" s="83">
        <f>IFERROR(AB11/AB7,0)</f>
        <v/>
      </c>
      <c r="AC40" s="83">
        <f>IFERROR(AC11/AC7,0)</f>
        <v/>
      </c>
      <c r="AD40" s="83">
        <f>IFERROR(AD11/AD7,0)</f>
        <v/>
      </c>
      <c r="AE40" s="83">
        <f>IFERROR(AE11/AE7,0)</f>
        <v/>
      </c>
      <c r="AF40" s="83">
        <f>IFERROR(AF11/AF7,0)</f>
        <v/>
      </c>
      <c r="AG40" s="83">
        <f>IFERROR(AG11/AG7,0)</f>
        <v/>
      </c>
      <c r="AH40" s="83">
        <f>IFERROR(AH11/AH7,0)</f>
        <v/>
      </c>
      <c r="AI40" s="83">
        <f>IFERROR(AI11/AI7,0)</f>
        <v/>
      </c>
      <c r="AJ40" s="83">
        <f>IFERROR(AJ11/AJ7,0)</f>
        <v/>
      </c>
      <c r="AK40" s="83">
        <f>IFERROR(AK11/AK7,0)</f>
        <v/>
      </c>
      <c r="AL40" s="83">
        <f>IFERROR(AL11/AL7,0)</f>
        <v/>
      </c>
      <c r="AM40" s="83">
        <f>IFERROR(AM11/AM7,0)</f>
        <v/>
      </c>
      <c r="AN40" s="83">
        <f>IFERROR(AN11/AN7,0)</f>
        <v/>
      </c>
      <c r="AO40" s="83">
        <f>IFERROR(AO11/AO7,0)</f>
        <v/>
      </c>
      <c r="AP40" s="83">
        <f>IFERROR(AP11/AP7,0)</f>
        <v/>
      </c>
      <c r="AQ40" s="83">
        <f>IFERROR(AQ11/AQ7,0)</f>
        <v/>
      </c>
      <c r="AR40" s="83">
        <f>IFERROR(AR11/AR7,0)</f>
        <v/>
      </c>
      <c r="AS40" s="83">
        <f>IFERROR(AS11/AS7,0)</f>
        <v/>
      </c>
      <c r="AT40" s="83">
        <f>IFERROR(AT11/AT7,0)</f>
        <v/>
      </c>
      <c r="AU40" s="83">
        <f>IFERROR(AU11/AU7,0)</f>
        <v/>
      </c>
      <c r="AV40" s="83">
        <f>IFERROR(AV11/AV7,0)</f>
        <v/>
      </c>
      <c r="AW40" s="83">
        <f>IFERROR(AW11/AW7,0)</f>
        <v/>
      </c>
      <c r="AX40" s="83">
        <f>IFERROR(AX11/AX7,0)</f>
        <v/>
      </c>
      <c r="AY40" s="83">
        <f>IFERROR(AY11/AY7,0)</f>
        <v/>
      </c>
      <c r="AZ40" s="83">
        <f>IFERROR(AZ11/AZ7,0)</f>
        <v/>
      </c>
      <c r="BA40" s="83">
        <f>IFERROR(BA11/BA7,0)</f>
        <v/>
      </c>
      <c r="BB40" s="83">
        <f>IFERROR(BB11/BB7,0)</f>
        <v/>
      </c>
      <c r="BC40" s="83">
        <f>IFERROR(BC11/BC7,0)</f>
        <v/>
      </c>
      <c r="BD40" s="83">
        <f>IFERROR(BD11/BD7,0)</f>
        <v/>
      </c>
      <c r="BE40" s="83">
        <f>IFERROR(BE11/BE7,0)</f>
        <v/>
      </c>
      <c r="BF40" s="83">
        <f>IFERROR(BF11/BF7,0)</f>
        <v/>
      </c>
      <c r="BG40" s="83">
        <f>IFERROR(BG11/BG7,0)</f>
        <v/>
      </c>
      <c r="BH40" s="83">
        <f>IFERROR(BH11/BH7,0)</f>
        <v/>
      </c>
      <c r="BI40" s="83">
        <f>IFERROR(BI11/BI7,0)</f>
        <v/>
      </c>
      <c r="BJ40" s="83">
        <f>IFERROR(BJ11/BJ7,0)</f>
        <v/>
      </c>
      <c r="BK40" s="83">
        <f>IFERROR(BK11/BK7,0)</f>
        <v/>
      </c>
      <c r="BL40" s="83">
        <f>IFERROR(BL11/BL7,0)</f>
        <v/>
      </c>
      <c r="BN40" s="83">
        <f>IFERROR(BN11/BN7,0)</f>
        <v/>
      </c>
      <c r="BO40" s="83">
        <f>IFERROR(BO11/BO7,0)</f>
        <v/>
      </c>
      <c r="BP40" s="83">
        <f>IFERROR(BP11/BP7,0)</f>
        <v/>
      </c>
      <c r="BQ40" s="83">
        <f>IFERROR(BQ11/BQ7,0)</f>
        <v/>
      </c>
      <c r="BR40" s="83">
        <f>IFERROR(BR11/BR7,0)</f>
        <v/>
      </c>
    </row>
    <row r="41">
      <c r="A41" s="105" t="inlineStr">
        <is>
          <t xml:space="preserve">  EBITDA Margin %</t>
        </is>
      </c>
      <c r="B41" s="106" t="inlineStr">
        <is>
          <t>%</t>
        </is>
      </c>
      <c r="C41" s="48" t="inlineStr">
        <is>
          <t>—</t>
        </is>
      </c>
      <c r="D41" s="45" t="inlineStr"/>
      <c r="E41" s="83">
        <f>IFERROR(E17/E7,0)</f>
        <v/>
      </c>
      <c r="F41" s="83">
        <f>IFERROR(F17/F7,0)</f>
        <v/>
      </c>
      <c r="G41" s="83">
        <f>IFERROR(G17/G7,0)</f>
        <v/>
      </c>
      <c r="H41" s="83">
        <f>IFERROR(H17/H7,0)</f>
        <v/>
      </c>
      <c r="I41" s="83">
        <f>IFERROR(I17/I7,0)</f>
        <v/>
      </c>
      <c r="J41" s="83">
        <f>IFERROR(J17/J7,0)</f>
        <v/>
      </c>
      <c r="K41" s="83">
        <f>IFERROR(K17/K7,0)</f>
        <v/>
      </c>
      <c r="L41" s="83">
        <f>IFERROR(L17/L7,0)</f>
        <v/>
      </c>
      <c r="M41" s="83">
        <f>IFERROR(M17/M7,0)</f>
        <v/>
      </c>
      <c r="N41" s="83">
        <f>IFERROR(N17/N7,0)</f>
        <v/>
      </c>
      <c r="O41" s="83">
        <f>IFERROR(O17/O7,0)</f>
        <v/>
      </c>
      <c r="P41" s="83">
        <f>IFERROR(P17/P7,0)</f>
        <v/>
      </c>
      <c r="Q41" s="83">
        <f>IFERROR(Q17/Q7,0)</f>
        <v/>
      </c>
      <c r="R41" s="83">
        <f>IFERROR(R17/R7,0)</f>
        <v/>
      </c>
      <c r="S41" s="83">
        <f>IFERROR(S17/S7,0)</f>
        <v/>
      </c>
      <c r="T41" s="83">
        <f>IFERROR(T17/T7,0)</f>
        <v/>
      </c>
      <c r="U41" s="83">
        <f>IFERROR(U17/U7,0)</f>
        <v/>
      </c>
      <c r="V41" s="83">
        <f>IFERROR(V17/V7,0)</f>
        <v/>
      </c>
      <c r="W41" s="83">
        <f>IFERROR(W17/W7,0)</f>
        <v/>
      </c>
      <c r="X41" s="83">
        <f>IFERROR(X17/X7,0)</f>
        <v/>
      </c>
      <c r="Y41" s="83">
        <f>IFERROR(Y17/Y7,0)</f>
        <v/>
      </c>
      <c r="Z41" s="83">
        <f>IFERROR(Z17/Z7,0)</f>
        <v/>
      </c>
      <c r="AA41" s="83">
        <f>IFERROR(AA17/AA7,0)</f>
        <v/>
      </c>
      <c r="AB41" s="83">
        <f>IFERROR(AB17/AB7,0)</f>
        <v/>
      </c>
      <c r="AC41" s="83">
        <f>IFERROR(AC17/AC7,0)</f>
        <v/>
      </c>
      <c r="AD41" s="83">
        <f>IFERROR(AD17/AD7,0)</f>
        <v/>
      </c>
      <c r="AE41" s="83">
        <f>IFERROR(AE17/AE7,0)</f>
        <v/>
      </c>
      <c r="AF41" s="83">
        <f>IFERROR(AF17/AF7,0)</f>
        <v/>
      </c>
      <c r="AG41" s="83">
        <f>IFERROR(AG17/AG7,0)</f>
        <v/>
      </c>
      <c r="AH41" s="83">
        <f>IFERROR(AH17/AH7,0)</f>
        <v/>
      </c>
      <c r="AI41" s="83">
        <f>IFERROR(AI17/AI7,0)</f>
        <v/>
      </c>
      <c r="AJ41" s="83">
        <f>IFERROR(AJ17/AJ7,0)</f>
        <v/>
      </c>
      <c r="AK41" s="83">
        <f>IFERROR(AK17/AK7,0)</f>
        <v/>
      </c>
      <c r="AL41" s="83">
        <f>IFERROR(AL17/AL7,0)</f>
        <v/>
      </c>
      <c r="AM41" s="83">
        <f>IFERROR(AM17/AM7,0)</f>
        <v/>
      </c>
      <c r="AN41" s="83">
        <f>IFERROR(AN17/AN7,0)</f>
        <v/>
      </c>
      <c r="AO41" s="83">
        <f>IFERROR(AO17/AO7,0)</f>
        <v/>
      </c>
      <c r="AP41" s="83">
        <f>IFERROR(AP17/AP7,0)</f>
        <v/>
      </c>
      <c r="AQ41" s="83">
        <f>IFERROR(AQ17/AQ7,0)</f>
        <v/>
      </c>
      <c r="AR41" s="83">
        <f>IFERROR(AR17/AR7,0)</f>
        <v/>
      </c>
      <c r="AS41" s="83">
        <f>IFERROR(AS17/AS7,0)</f>
        <v/>
      </c>
      <c r="AT41" s="83">
        <f>IFERROR(AT17/AT7,0)</f>
        <v/>
      </c>
      <c r="AU41" s="83">
        <f>IFERROR(AU17/AU7,0)</f>
        <v/>
      </c>
      <c r="AV41" s="83">
        <f>IFERROR(AV17/AV7,0)</f>
        <v/>
      </c>
      <c r="AW41" s="83">
        <f>IFERROR(AW17/AW7,0)</f>
        <v/>
      </c>
      <c r="AX41" s="83">
        <f>IFERROR(AX17/AX7,0)</f>
        <v/>
      </c>
      <c r="AY41" s="83">
        <f>IFERROR(AY17/AY7,0)</f>
        <v/>
      </c>
      <c r="AZ41" s="83">
        <f>IFERROR(AZ17/AZ7,0)</f>
        <v/>
      </c>
      <c r="BA41" s="83">
        <f>IFERROR(BA17/BA7,0)</f>
        <v/>
      </c>
      <c r="BB41" s="83">
        <f>IFERROR(BB17/BB7,0)</f>
        <v/>
      </c>
      <c r="BC41" s="83">
        <f>IFERROR(BC17/BC7,0)</f>
        <v/>
      </c>
      <c r="BD41" s="83">
        <f>IFERROR(BD17/BD7,0)</f>
        <v/>
      </c>
      <c r="BE41" s="83">
        <f>IFERROR(BE17/BE7,0)</f>
        <v/>
      </c>
      <c r="BF41" s="83">
        <f>IFERROR(BF17/BF7,0)</f>
        <v/>
      </c>
      <c r="BG41" s="83">
        <f>IFERROR(BG17/BG7,0)</f>
        <v/>
      </c>
      <c r="BH41" s="83">
        <f>IFERROR(BH17/BH7,0)</f>
        <v/>
      </c>
      <c r="BI41" s="83">
        <f>IFERROR(BI17/BI7,0)</f>
        <v/>
      </c>
      <c r="BJ41" s="83">
        <f>IFERROR(BJ17/BJ7,0)</f>
        <v/>
      </c>
      <c r="BK41" s="83">
        <f>IFERROR(BK17/BK7,0)</f>
        <v/>
      </c>
      <c r="BL41" s="83">
        <f>IFERROR(BL17/BL7,0)</f>
        <v/>
      </c>
      <c r="BN41" s="83">
        <f>IFERROR(BN17/BN7,0)</f>
        <v/>
      </c>
      <c r="BO41" s="83">
        <f>IFERROR(BO17/BO7,0)</f>
        <v/>
      </c>
      <c r="BP41" s="83">
        <f>IFERROR(BP17/BP7,0)</f>
        <v/>
      </c>
      <c r="BQ41" s="83">
        <f>IFERROR(BQ17/BQ7,0)</f>
        <v/>
      </c>
      <c r="BR41" s="83">
        <f>IFERROR(BR17/BR7,0)</f>
        <v/>
      </c>
    </row>
    <row r="42">
      <c r="A42" s="105" t="inlineStr">
        <is>
          <t xml:space="preserve">  EBIT Margin %</t>
        </is>
      </c>
      <c r="B42" s="106" t="inlineStr">
        <is>
          <t>%</t>
        </is>
      </c>
      <c r="C42" s="48" t="inlineStr">
        <is>
          <t>—</t>
        </is>
      </c>
      <c r="D42" s="45" t="inlineStr"/>
      <c r="E42" s="83">
        <f>IFERROR(E21/E7,0)</f>
        <v/>
      </c>
      <c r="F42" s="83">
        <f>IFERROR(F21/F7,0)</f>
        <v/>
      </c>
      <c r="G42" s="83">
        <f>IFERROR(G21/G7,0)</f>
        <v/>
      </c>
      <c r="H42" s="83">
        <f>IFERROR(H21/H7,0)</f>
        <v/>
      </c>
      <c r="I42" s="83">
        <f>IFERROR(I21/I7,0)</f>
        <v/>
      </c>
      <c r="J42" s="83">
        <f>IFERROR(J21/J7,0)</f>
        <v/>
      </c>
      <c r="K42" s="83">
        <f>IFERROR(K21/K7,0)</f>
        <v/>
      </c>
      <c r="L42" s="83">
        <f>IFERROR(L21/L7,0)</f>
        <v/>
      </c>
      <c r="M42" s="83">
        <f>IFERROR(M21/M7,0)</f>
        <v/>
      </c>
      <c r="N42" s="83">
        <f>IFERROR(N21/N7,0)</f>
        <v/>
      </c>
      <c r="O42" s="83">
        <f>IFERROR(O21/O7,0)</f>
        <v/>
      </c>
      <c r="P42" s="83">
        <f>IFERROR(P21/P7,0)</f>
        <v/>
      </c>
      <c r="Q42" s="83">
        <f>IFERROR(Q21/Q7,0)</f>
        <v/>
      </c>
      <c r="R42" s="83">
        <f>IFERROR(R21/R7,0)</f>
        <v/>
      </c>
      <c r="S42" s="83">
        <f>IFERROR(S21/S7,0)</f>
        <v/>
      </c>
      <c r="T42" s="83">
        <f>IFERROR(T21/T7,0)</f>
        <v/>
      </c>
      <c r="U42" s="83">
        <f>IFERROR(U21/U7,0)</f>
        <v/>
      </c>
      <c r="V42" s="83">
        <f>IFERROR(V21/V7,0)</f>
        <v/>
      </c>
      <c r="W42" s="83">
        <f>IFERROR(W21/W7,0)</f>
        <v/>
      </c>
      <c r="X42" s="83">
        <f>IFERROR(X21/X7,0)</f>
        <v/>
      </c>
      <c r="Y42" s="83">
        <f>IFERROR(Y21/Y7,0)</f>
        <v/>
      </c>
      <c r="Z42" s="83">
        <f>IFERROR(Z21/Z7,0)</f>
        <v/>
      </c>
      <c r="AA42" s="83">
        <f>IFERROR(AA21/AA7,0)</f>
        <v/>
      </c>
      <c r="AB42" s="83">
        <f>IFERROR(AB21/AB7,0)</f>
        <v/>
      </c>
      <c r="AC42" s="83">
        <f>IFERROR(AC21/AC7,0)</f>
        <v/>
      </c>
      <c r="AD42" s="83">
        <f>IFERROR(AD21/AD7,0)</f>
        <v/>
      </c>
      <c r="AE42" s="83">
        <f>IFERROR(AE21/AE7,0)</f>
        <v/>
      </c>
      <c r="AF42" s="83">
        <f>IFERROR(AF21/AF7,0)</f>
        <v/>
      </c>
      <c r="AG42" s="83">
        <f>IFERROR(AG21/AG7,0)</f>
        <v/>
      </c>
      <c r="AH42" s="83">
        <f>IFERROR(AH21/AH7,0)</f>
        <v/>
      </c>
      <c r="AI42" s="83">
        <f>IFERROR(AI21/AI7,0)</f>
        <v/>
      </c>
      <c r="AJ42" s="83">
        <f>IFERROR(AJ21/AJ7,0)</f>
        <v/>
      </c>
      <c r="AK42" s="83">
        <f>IFERROR(AK21/AK7,0)</f>
        <v/>
      </c>
      <c r="AL42" s="83">
        <f>IFERROR(AL21/AL7,0)</f>
        <v/>
      </c>
      <c r="AM42" s="83">
        <f>IFERROR(AM21/AM7,0)</f>
        <v/>
      </c>
      <c r="AN42" s="83">
        <f>IFERROR(AN21/AN7,0)</f>
        <v/>
      </c>
      <c r="AO42" s="83">
        <f>IFERROR(AO21/AO7,0)</f>
        <v/>
      </c>
      <c r="AP42" s="83">
        <f>IFERROR(AP21/AP7,0)</f>
        <v/>
      </c>
      <c r="AQ42" s="83">
        <f>IFERROR(AQ21/AQ7,0)</f>
        <v/>
      </c>
      <c r="AR42" s="83">
        <f>IFERROR(AR21/AR7,0)</f>
        <v/>
      </c>
      <c r="AS42" s="83">
        <f>IFERROR(AS21/AS7,0)</f>
        <v/>
      </c>
      <c r="AT42" s="83">
        <f>IFERROR(AT21/AT7,0)</f>
        <v/>
      </c>
      <c r="AU42" s="83">
        <f>IFERROR(AU21/AU7,0)</f>
        <v/>
      </c>
      <c r="AV42" s="83">
        <f>IFERROR(AV21/AV7,0)</f>
        <v/>
      </c>
      <c r="AW42" s="83">
        <f>IFERROR(AW21/AW7,0)</f>
        <v/>
      </c>
      <c r="AX42" s="83">
        <f>IFERROR(AX21/AX7,0)</f>
        <v/>
      </c>
      <c r="AY42" s="83">
        <f>IFERROR(AY21/AY7,0)</f>
        <v/>
      </c>
      <c r="AZ42" s="83">
        <f>IFERROR(AZ21/AZ7,0)</f>
        <v/>
      </c>
      <c r="BA42" s="83">
        <f>IFERROR(BA21/BA7,0)</f>
        <v/>
      </c>
      <c r="BB42" s="83">
        <f>IFERROR(BB21/BB7,0)</f>
        <v/>
      </c>
      <c r="BC42" s="83">
        <f>IFERROR(BC21/BC7,0)</f>
        <v/>
      </c>
      <c r="BD42" s="83">
        <f>IFERROR(BD21/BD7,0)</f>
        <v/>
      </c>
      <c r="BE42" s="83">
        <f>IFERROR(BE21/BE7,0)</f>
        <v/>
      </c>
      <c r="BF42" s="83">
        <f>IFERROR(BF21/BF7,0)</f>
        <v/>
      </c>
      <c r="BG42" s="83">
        <f>IFERROR(BG21/BG7,0)</f>
        <v/>
      </c>
      <c r="BH42" s="83">
        <f>IFERROR(BH21/BH7,0)</f>
        <v/>
      </c>
      <c r="BI42" s="83">
        <f>IFERROR(BI21/BI7,0)</f>
        <v/>
      </c>
      <c r="BJ42" s="83">
        <f>IFERROR(BJ21/BJ7,0)</f>
        <v/>
      </c>
      <c r="BK42" s="83">
        <f>IFERROR(BK21/BK7,0)</f>
        <v/>
      </c>
      <c r="BL42" s="83">
        <f>IFERROR(BL21/BL7,0)</f>
        <v/>
      </c>
      <c r="BN42" s="83">
        <f>IFERROR(BN21/BN7,0)</f>
        <v/>
      </c>
      <c r="BO42" s="83">
        <f>IFERROR(BO21/BO7,0)</f>
        <v/>
      </c>
      <c r="BP42" s="83">
        <f>IFERROR(BP21/BP7,0)</f>
        <v/>
      </c>
      <c r="BQ42" s="83">
        <f>IFERROR(BQ21/BQ7,0)</f>
        <v/>
      </c>
      <c r="BR42" s="83">
        <f>IFERROR(BR21/BR7,0)</f>
        <v/>
      </c>
    </row>
    <row r="43">
      <c r="A43" s="105" t="inlineStr">
        <is>
          <t xml:space="preserve">  Net Margin %</t>
        </is>
      </c>
      <c r="B43" s="106" t="inlineStr">
        <is>
          <t>%</t>
        </is>
      </c>
      <c r="C43" s="48" t="inlineStr">
        <is>
          <t>—</t>
        </is>
      </c>
      <c r="D43" s="45" t="inlineStr"/>
      <c r="E43" s="83">
        <f>IFERROR(E36/E7,0)</f>
        <v/>
      </c>
      <c r="F43" s="83">
        <f>IFERROR(F36/F7,0)</f>
        <v/>
      </c>
      <c r="G43" s="83">
        <f>IFERROR(G36/G7,0)</f>
        <v/>
      </c>
      <c r="H43" s="83">
        <f>IFERROR(H36/H7,0)</f>
        <v/>
      </c>
      <c r="I43" s="83">
        <f>IFERROR(I36/I7,0)</f>
        <v/>
      </c>
      <c r="J43" s="83">
        <f>IFERROR(J36/J7,0)</f>
        <v/>
      </c>
      <c r="K43" s="83">
        <f>IFERROR(K36/K7,0)</f>
        <v/>
      </c>
      <c r="L43" s="83">
        <f>IFERROR(L36/L7,0)</f>
        <v/>
      </c>
      <c r="M43" s="83">
        <f>IFERROR(M36/M7,0)</f>
        <v/>
      </c>
      <c r="N43" s="83">
        <f>IFERROR(N36/N7,0)</f>
        <v/>
      </c>
      <c r="O43" s="83">
        <f>IFERROR(O36/O7,0)</f>
        <v/>
      </c>
      <c r="P43" s="83">
        <f>IFERROR(P36/P7,0)</f>
        <v/>
      </c>
      <c r="Q43" s="83">
        <f>IFERROR(Q36/Q7,0)</f>
        <v/>
      </c>
      <c r="R43" s="83">
        <f>IFERROR(R36/R7,0)</f>
        <v/>
      </c>
      <c r="S43" s="83">
        <f>IFERROR(S36/S7,0)</f>
        <v/>
      </c>
      <c r="T43" s="83">
        <f>IFERROR(T36/T7,0)</f>
        <v/>
      </c>
      <c r="U43" s="83">
        <f>IFERROR(U36/U7,0)</f>
        <v/>
      </c>
      <c r="V43" s="83">
        <f>IFERROR(V36/V7,0)</f>
        <v/>
      </c>
      <c r="W43" s="83">
        <f>IFERROR(W36/W7,0)</f>
        <v/>
      </c>
      <c r="X43" s="83">
        <f>IFERROR(X36/X7,0)</f>
        <v/>
      </c>
      <c r="Y43" s="83">
        <f>IFERROR(Y36/Y7,0)</f>
        <v/>
      </c>
      <c r="Z43" s="83">
        <f>IFERROR(Z36/Z7,0)</f>
        <v/>
      </c>
      <c r="AA43" s="83">
        <f>IFERROR(AA36/AA7,0)</f>
        <v/>
      </c>
      <c r="AB43" s="83">
        <f>IFERROR(AB36/AB7,0)</f>
        <v/>
      </c>
      <c r="AC43" s="83">
        <f>IFERROR(AC36/AC7,0)</f>
        <v/>
      </c>
      <c r="AD43" s="83">
        <f>IFERROR(AD36/AD7,0)</f>
        <v/>
      </c>
      <c r="AE43" s="83">
        <f>IFERROR(AE36/AE7,0)</f>
        <v/>
      </c>
      <c r="AF43" s="83">
        <f>IFERROR(AF36/AF7,0)</f>
        <v/>
      </c>
      <c r="AG43" s="83">
        <f>IFERROR(AG36/AG7,0)</f>
        <v/>
      </c>
      <c r="AH43" s="83">
        <f>IFERROR(AH36/AH7,0)</f>
        <v/>
      </c>
      <c r="AI43" s="83">
        <f>IFERROR(AI36/AI7,0)</f>
        <v/>
      </c>
      <c r="AJ43" s="83">
        <f>IFERROR(AJ36/AJ7,0)</f>
        <v/>
      </c>
      <c r="AK43" s="83">
        <f>IFERROR(AK36/AK7,0)</f>
        <v/>
      </c>
      <c r="AL43" s="83">
        <f>IFERROR(AL36/AL7,0)</f>
        <v/>
      </c>
      <c r="AM43" s="83">
        <f>IFERROR(AM36/AM7,0)</f>
        <v/>
      </c>
      <c r="AN43" s="83">
        <f>IFERROR(AN36/AN7,0)</f>
        <v/>
      </c>
      <c r="AO43" s="83">
        <f>IFERROR(AO36/AO7,0)</f>
        <v/>
      </c>
      <c r="AP43" s="83">
        <f>IFERROR(AP36/AP7,0)</f>
        <v/>
      </c>
      <c r="AQ43" s="83">
        <f>IFERROR(AQ36/AQ7,0)</f>
        <v/>
      </c>
      <c r="AR43" s="83">
        <f>IFERROR(AR36/AR7,0)</f>
        <v/>
      </c>
      <c r="AS43" s="83">
        <f>IFERROR(AS36/AS7,0)</f>
        <v/>
      </c>
      <c r="AT43" s="83">
        <f>IFERROR(AT36/AT7,0)</f>
        <v/>
      </c>
      <c r="AU43" s="83">
        <f>IFERROR(AU36/AU7,0)</f>
        <v/>
      </c>
      <c r="AV43" s="83">
        <f>IFERROR(AV36/AV7,0)</f>
        <v/>
      </c>
      <c r="AW43" s="83">
        <f>IFERROR(AW36/AW7,0)</f>
        <v/>
      </c>
      <c r="AX43" s="83">
        <f>IFERROR(AX36/AX7,0)</f>
        <v/>
      </c>
      <c r="AY43" s="83">
        <f>IFERROR(AY36/AY7,0)</f>
        <v/>
      </c>
      <c r="AZ43" s="83">
        <f>IFERROR(AZ36/AZ7,0)</f>
        <v/>
      </c>
      <c r="BA43" s="83">
        <f>IFERROR(BA36/BA7,0)</f>
        <v/>
      </c>
      <c r="BB43" s="83">
        <f>IFERROR(BB36/BB7,0)</f>
        <v/>
      </c>
      <c r="BC43" s="83">
        <f>IFERROR(BC36/BC7,0)</f>
        <v/>
      </c>
      <c r="BD43" s="83">
        <f>IFERROR(BD36/BD7,0)</f>
        <v/>
      </c>
      <c r="BE43" s="83">
        <f>IFERROR(BE36/BE7,0)</f>
        <v/>
      </c>
      <c r="BF43" s="83">
        <f>IFERROR(BF36/BF7,0)</f>
        <v/>
      </c>
      <c r="BG43" s="83">
        <f>IFERROR(BG36/BG7,0)</f>
        <v/>
      </c>
      <c r="BH43" s="83">
        <f>IFERROR(BH36/BH7,0)</f>
        <v/>
      </c>
      <c r="BI43" s="83">
        <f>IFERROR(BI36/BI7,0)</f>
        <v/>
      </c>
      <c r="BJ43" s="83">
        <f>IFERROR(BJ36/BJ7,0)</f>
        <v/>
      </c>
      <c r="BK43" s="83">
        <f>IFERROR(BK36/BK7,0)</f>
        <v/>
      </c>
      <c r="BL43" s="83">
        <f>IFERROR(BL36/BL7,0)</f>
        <v/>
      </c>
      <c r="BN43" s="83">
        <f>IFERROR(BN36/BN7,0)</f>
        <v/>
      </c>
      <c r="BO43" s="83">
        <f>IFERROR(BO36/BO7,0)</f>
        <v/>
      </c>
      <c r="BP43" s="83">
        <f>IFERROR(BP36/BP7,0)</f>
        <v/>
      </c>
      <c r="BQ43" s="83">
        <f>IFERROR(BQ36/BQ7,0)</f>
        <v/>
      </c>
      <c r="BR43" s="83">
        <f>IFERROR(BR36/BR7,0)</f>
        <v/>
      </c>
    </row>
    <row r="44">
      <c r="A44" s="42" t="inlineStr">
        <is>
          <t xml:space="preserve">    Рост выручки г/г %</t>
        </is>
      </c>
      <c r="B44" s="43" t="inlineStr">
        <is>
          <t>%</t>
        </is>
      </c>
      <c r="C44" s="48" t="inlineStr">
        <is>
          <t>—</t>
        </is>
      </c>
      <c r="D44" s="45" t="inlineStr"/>
      <c r="E44" s="42" t="inlineStr"/>
      <c r="F44" s="42" t="inlineStr"/>
      <c r="G44" s="42" t="inlineStr"/>
      <c r="H44" s="42" t="inlineStr"/>
      <c r="I44" s="42" t="inlineStr"/>
      <c r="J44" s="42" t="inlineStr"/>
      <c r="K44" s="42" t="inlineStr"/>
      <c r="L44" s="42" t="inlineStr"/>
      <c r="M44" s="42" t="inlineStr"/>
      <c r="N44" s="42" t="inlineStr"/>
      <c r="O44" s="42" t="inlineStr"/>
      <c r="P44" s="42" t="inlineStr"/>
      <c r="Q44" s="42" t="inlineStr"/>
      <c r="R44" s="42" t="inlineStr"/>
      <c r="S44" s="42" t="inlineStr"/>
      <c r="T44" s="42" t="inlineStr"/>
      <c r="U44" s="42" t="inlineStr"/>
      <c r="V44" s="42" t="inlineStr"/>
      <c r="W44" s="42" t="inlineStr"/>
      <c r="X44" s="42" t="inlineStr"/>
      <c r="Y44" s="42" t="inlineStr"/>
      <c r="Z44" s="42" t="inlineStr"/>
      <c r="AA44" s="42" t="inlineStr"/>
      <c r="AB44" s="42" t="inlineStr"/>
      <c r="AC44" s="42" t="inlineStr"/>
      <c r="AD44" s="42" t="inlineStr"/>
      <c r="AE44" s="42" t="inlineStr"/>
      <c r="AF44" s="42" t="inlineStr"/>
      <c r="AG44" s="42" t="inlineStr"/>
      <c r="AH44" s="42" t="inlineStr"/>
      <c r="AI44" s="42" t="inlineStr"/>
      <c r="AJ44" s="42" t="inlineStr"/>
      <c r="AK44" s="42" t="inlineStr"/>
      <c r="AL44" s="42" t="inlineStr"/>
      <c r="AM44" s="42" t="inlineStr"/>
      <c r="AN44" s="42" t="inlineStr"/>
      <c r="AO44" s="42" t="inlineStr"/>
      <c r="AP44" s="42" t="inlineStr"/>
      <c r="AQ44" s="42" t="inlineStr"/>
      <c r="AR44" s="42" t="inlineStr"/>
      <c r="AS44" s="42" t="inlineStr"/>
      <c r="AT44" s="42" t="inlineStr"/>
      <c r="AU44" s="42" t="inlineStr"/>
      <c r="AV44" s="42" t="inlineStr"/>
      <c r="AW44" s="42" t="inlineStr"/>
      <c r="AX44" s="42" t="inlineStr"/>
      <c r="AY44" s="42" t="inlineStr"/>
      <c r="AZ44" s="42" t="inlineStr"/>
      <c r="BA44" s="42" t="inlineStr"/>
      <c r="BB44" s="42" t="inlineStr"/>
      <c r="BC44" s="42" t="inlineStr"/>
      <c r="BD44" s="42" t="inlineStr"/>
      <c r="BE44" s="42" t="inlineStr"/>
      <c r="BF44" s="42" t="inlineStr"/>
      <c r="BG44" s="42" t="inlineStr"/>
      <c r="BH44" s="42" t="inlineStr"/>
      <c r="BI44" s="42" t="inlineStr"/>
      <c r="BJ44" s="42" t="inlineStr"/>
      <c r="BK44" s="42" t="inlineStr"/>
      <c r="BL44" s="42" t="inlineStr"/>
      <c r="BN44" s="46" t="inlineStr">
        <is>
          <t>—</t>
        </is>
      </c>
      <c r="BO44" s="83">
        <f>IFERROR(BO7/BN7-1,0)</f>
        <v/>
      </c>
      <c r="BP44" s="83">
        <f>IFERROR(BP7/BO7-1,0)</f>
        <v/>
      </c>
      <c r="BQ44" s="83">
        <f>IFERROR(BQ7/BP7-1,0)</f>
        <v/>
      </c>
      <c r="BR44" s="83">
        <f>IFERROR(BR7/BQ7-1,0)</f>
        <v/>
      </c>
    </row>
  </sheetData>
  <mergeCells count="10">
    <mergeCell ref="A24:BR24"/>
    <mergeCell ref="A2:BR2"/>
    <mergeCell ref="A14:BR14"/>
    <mergeCell ref="A1:BR1"/>
    <mergeCell ref="A27:BR27"/>
    <mergeCell ref="A8:BR8"/>
    <mergeCell ref="A31:BR31"/>
    <mergeCell ref="A6:BR6"/>
    <mergeCell ref="A35:BR35"/>
    <mergeCell ref="A39:BR3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52"/>
  <sheetViews>
    <sheetView showGridLines="0" workbookViewId="0">
      <selection activeCell="A1" sqref="A1"/>
    </sheetView>
  </sheetViews>
  <sheetFormatPr baseColWidth="8" defaultRowHeight="15"/>
  <cols>
    <col width="56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</cols>
  <sheetData>
    <row r="1" ht="32" customHeight="1">
      <c r="A1" s="32" t="inlineStr">
        <is>
          <t xml:space="preserve">  ПРОВЕРКИ И SANITY CHECKS (сквозная арифметика)</t>
        </is>
      </c>
    </row>
    <row r="2" ht="18" customHeight="1">
      <c r="A2" s="38" t="inlineStr">
        <is>
          <t xml:space="preserve">  Все проверки — формулы по построенным листам. ✓ PASS = ок, ✗ = расхождение/выход за норматив</t>
        </is>
      </c>
    </row>
    <row r="3" ht="8" customHeight="1"/>
    <row r="4" ht="22" customHeight="1">
      <c r="A4" s="41" t="inlineStr">
        <is>
          <t xml:space="preserve">  ЧАСТЬ 1 — СКВОЗНЫЕ ПРОВЕРКИ: P&amp;L ЦЕПОЧКА</t>
        </is>
      </c>
    </row>
    <row r="5" ht="20" customHeight="1">
      <c r="A5" s="107" t="inlineStr">
        <is>
          <t>ПРОВЕРКА</t>
        </is>
      </c>
      <c r="B5" s="20" t="inlineStr">
        <is>
          <t>Г1</t>
        </is>
      </c>
      <c r="C5" s="20" t="inlineStr">
        <is>
          <t>Г2</t>
        </is>
      </c>
      <c r="D5" s="20" t="inlineStr">
        <is>
          <t>Г3</t>
        </is>
      </c>
      <c r="E5" s="20" t="inlineStr">
        <is>
          <t>Г4</t>
        </is>
      </c>
      <c r="F5" s="20" t="inlineStr">
        <is>
          <t>Г5</t>
        </is>
      </c>
    </row>
    <row r="6" ht="20" customHeight="1">
      <c r="A6" s="108" t="inlineStr">
        <is>
          <t>Revenue − COGS = Gross Profit</t>
        </is>
      </c>
      <c r="B6" s="109">
        <f>IF(ABS(('COGS &amp; SGA'!BN6-'COGS &amp; SGA'!BN15)-'COGS &amp; SGA'!BN18)&lt;0.05,"✓","✗")</f>
        <v/>
      </c>
      <c r="C6" s="109">
        <f>IF(ABS(('COGS &amp; SGA'!BO6-'COGS &amp; SGA'!BO15)-'COGS &amp; SGA'!BO18)&lt;0.05,"✓","✗")</f>
        <v/>
      </c>
      <c r="D6" s="109">
        <f>IF(ABS(('COGS &amp; SGA'!BP6-'COGS &amp; SGA'!BP15)-'COGS &amp; SGA'!BP18)&lt;0.05,"✓","✗")</f>
        <v/>
      </c>
      <c r="E6" s="109">
        <f>IF(ABS(('COGS &amp; SGA'!BQ6-'COGS &amp; SGA'!BQ15)-'COGS &amp; SGA'!BQ18)&lt;0.05,"✓","✗")</f>
        <v/>
      </c>
      <c r="F6" s="109">
        <f>IF(ABS(('COGS &amp; SGA'!BR6-'COGS &amp; SGA'!BR15)-'COGS &amp; SGA'!BR18)&lt;0.05,"✓","✗")</f>
        <v/>
      </c>
    </row>
    <row r="7" ht="20" customHeight="1">
      <c r="A7" s="110" t="inlineStr">
        <is>
          <t>Gross Profit − SG&amp;A = EBITDA</t>
        </is>
      </c>
      <c r="B7" s="109">
        <f>IF(ABS(('COGS &amp; SGA'!BN18-'COGS &amp; SGA'!BN29)-'COGS &amp; SGA'!BN32)&lt;0.05,"✓","✗")</f>
        <v/>
      </c>
      <c r="C7" s="109">
        <f>IF(ABS(('COGS &amp; SGA'!BO18-'COGS &amp; SGA'!BO29)-'COGS &amp; SGA'!BO32)&lt;0.05,"✓","✗")</f>
        <v/>
      </c>
      <c r="D7" s="109">
        <f>IF(ABS(('COGS &amp; SGA'!BP18-'COGS &amp; SGA'!BP29)-'COGS &amp; SGA'!BP32)&lt;0.05,"✓","✗")</f>
        <v/>
      </c>
      <c r="E7" s="109">
        <f>IF(ABS(('COGS &amp; SGA'!BQ18-'COGS &amp; SGA'!BQ29)-'COGS &amp; SGA'!BQ32)&lt;0.05,"✓","✗")</f>
        <v/>
      </c>
      <c r="F7" s="109">
        <f>IF(ABS(('COGS &amp; SGA'!BR18-'COGS &amp; SGA'!BR29)-'COGS &amp; SGA'!BR32)&lt;0.05,"✓","✗")</f>
        <v/>
      </c>
    </row>
    <row r="8" ht="20" customHeight="1">
      <c r="A8" s="108" t="inlineStr">
        <is>
          <t>EBITDA − D&amp;A = EBIT</t>
        </is>
      </c>
      <c r="B8" s="109">
        <f>IF(ABS(('COGS &amp; SGA'!BN32-'CAPEX &amp; D&amp;A'!BN29)-'CAPEX &amp; D&amp;A'!BN30)&lt;0.05,"✓","✗")</f>
        <v/>
      </c>
      <c r="C8" s="109">
        <f>IF(ABS(('COGS &amp; SGA'!BO32-'CAPEX &amp; D&amp;A'!BO29)-'CAPEX &amp; D&amp;A'!BO30)&lt;0.05,"✓","✗")</f>
        <v/>
      </c>
      <c r="D8" s="109">
        <f>IF(ABS(('COGS &amp; SGA'!BP32-'CAPEX &amp; D&amp;A'!BP29)-'CAPEX &amp; D&amp;A'!BP30)&lt;0.05,"✓","✗")</f>
        <v/>
      </c>
      <c r="E8" s="109">
        <f>IF(ABS(('COGS &amp; SGA'!BQ32-'CAPEX &amp; D&amp;A'!BQ29)-'CAPEX &amp; D&amp;A'!BQ30)&lt;0.05,"✓","✗")</f>
        <v/>
      </c>
      <c r="F8" s="109">
        <f>IF(ABS(('COGS &amp; SGA'!BR32-'CAPEX &amp; D&amp;A'!BR29)-'CAPEX &amp; D&amp;A'!BR30)&lt;0.05,"✓","✗")</f>
        <v/>
      </c>
    </row>
    <row r="9" ht="20" customHeight="1">
      <c r="A9" s="110" t="inlineStr">
        <is>
          <t>EBIT − Проценты (долг + revolver) = EBT</t>
        </is>
      </c>
      <c r="B9" s="109">
        <f>IF(ABS(('CAPEX &amp; D&amp;A'!BN30-Налоги!BN9-Налоги!BN10)-Налоги!BN11)&lt;0.05,"✓","✗")</f>
        <v/>
      </c>
      <c r="C9" s="109">
        <f>IF(ABS(('CAPEX &amp; D&amp;A'!BO30-Налоги!BO9-Налоги!BO10)-Налоги!BO11)&lt;0.05,"✓","✗")</f>
        <v/>
      </c>
      <c r="D9" s="109">
        <f>IF(ABS(('CAPEX &amp; D&amp;A'!BP30-Налоги!BP9-Налоги!BP10)-Налоги!BP11)&lt;0.05,"✓","✗")</f>
        <v/>
      </c>
      <c r="E9" s="109">
        <f>IF(ABS(('CAPEX &amp; D&amp;A'!BQ30-Налоги!BQ9-Налоги!BQ10)-Налоги!BQ11)&lt;0.05,"✓","✗")</f>
        <v/>
      </c>
      <c r="F9" s="109">
        <f>IF(ABS(('CAPEX &amp; D&amp;A'!BR30-Налоги!BR9-Налоги!BR10)-Налоги!BR11)&lt;0.05,"✓","✗")</f>
        <v/>
      </c>
    </row>
    <row r="11" ht="22" customHeight="1">
      <c r="A11" s="41" t="inlineStr">
        <is>
          <t xml:space="preserve">  ЧАСТЬ 2 — СКВОЗНЫЕ ПРОВЕРКИ: BALANCE SHEET</t>
        </is>
      </c>
    </row>
    <row r="12" ht="20" customHeight="1">
      <c r="A12" s="107" t="inlineStr">
        <is>
          <t>ПРОВЕРКА</t>
        </is>
      </c>
      <c r="B12" s="20" t="inlineStr">
        <is>
          <t>Г1</t>
        </is>
      </c>
      <c r="C12" s="20" t="inlineStr">
        <is>
          <t>Г2</t>
        </is>
      </c>
      <c r="D12" s="20" t="inlineStr">
        <is>
          <t>Г3</t>
        </is>
      </c>
      <c r="E12" s="20" t="inlineStr">
        <is>
          <t>Г4</t>
        </is>
      </c>
      <c r="F12" s="20" t="inlineStr">
        <is>
          <t>Г5</t>
        </is>
      </c>
    </row>
    <row r="13" ht="20" customHeight="1">
      <c r="A13" s="110" t="inlineStr">
        <is>
          <t>Активы = Пассивы — сходится по построению (Cash-plug); реальный тест целостности — строка CF↔BS ниже</t>
        </is>
      </c>
      <c r="B13" s="109">
        <f>IF(ABS(Баланс!BN10-Баланс!BN21)&lt;0.05,"✓","✗")</f>
        <v/>
      </c>
      <c r="C13" s="109">
        <f>IF(ABS(Баланс!BO10-Баланс!BO21)&lt;0.05,"✓","✗")</f>
        <v/>
      </c>
      <c r="D13" s="109">
        <f>IF(ABS(Баланс!BP10-Баланс!BP21)&lt;0.05,"✓","✗")</f>
        <v/>
      </c>
      <c r="E13" s="109">
        <f>IF(ABS(Баланс!BQ10-Баланс!BQ21)&lt;0.05,"✓","✗")</f>
        <v/>
      </c>
      <c r="F13" s="109">
        <f>IF(ABS(Баланс!BR10-Баланс!BR21)&lt;0.05,"✓","✗")</f>
        <v/>
      </c>
    </row>
    <row r="14" ht="20" customHeight="1">
      <c r="A14" s="108" t="inlineStr">
        <is>
          <t>RE Closing ≥ 0 (⚠ &lt;0 = greenfield-убыток, не ошибка)</t>
        </is>
      </c>
      <c r="B14" s="109">
        <f>IF(Баланс!BN20&gt;=0,"✓","⚠ &lt;0")</f>
        <v/>
      </c>
      <c r="C14" s="109">
        <f>IF(Баланс!BO20&gt;=0,"✓","⚠ &lt;0")</f>
        <v/>
      </c>
      <c r="D14" s="109">
        <f>IF(Баланс!BP20&gt;=0,"✓","⚠ &lt;0")</f>
        <v/>
      </c>
      <c r="E14" s="109">
        <f>IF(Баланс!BQ20&gt;=0,"✓","⚠ &lt;0")</f>
        <v/>
      </c>
      <c r="F14" s="109">
        <f>IF(Баланс!BR20&gt;=0,"✓","⚠ &lt;0")</f>
        <v/>
      </c>
    </row>
    <row r="15" ht="20" customHeight="1">
      <c r="A15" s="110" t="inlineStr">
        <is>
          <t>Cash ≥ 0 (если ✗ — компании нужно фин-ние)</t>
        </is>
      </c>
      <c r="B15" s="109">
        <f>IF(Баланс!BN9&gt;=0,"✓","⚠ &lt;0")</f>
        <v/>
      </c>
      <c r="C15" s="109">
        <f>IF(Баланс!BO9&gt;=0,"✓","⚠ &lt;0")</f>
        <v/>
      </c>
      <c r="D15" s="109">
        <f>IF(Баланс!BP9&gt;=0,"✓","⚠ &lt;0")</f>
        <v/>
      </c>
      <c r="E15" s="109">
        <f>IF(Баланс!BQ9&gt;=0,"✓","⚠ &lt;0")</f>
        <v/>
      </c>
      <c r="F15" s="109">
        <f>IF(Баланс!BR9&gt;=0,"✓","⚠ &lt;0")</f>
        <v/>
      </c>
    </row>
    <row r="17" ht="22" customHeight="1">
      <c r="A17" s="41" t="inlineStr">
        <is>
          <t xml:space="preserve">  ЧАСТЬ 3 — СКВОЗНЫЕ ПРОВЕРКИ: PP&amp;E (CORKSCREW)</t>
        </is>
      </c>
    </row>
    <row r="18" ht="20" customHeight="1">
      <c r="A18" s="107" t="inlineStr">
        <is>
          <t>ПРОВЕРКА</t>
        </is>
      </c>
      <c r="B18" s="20" t="inlineStr">
        <is>
          <t>Г1</t>
        </is>
      </c>
      <c r="C18" s="20" t="inlineStr">
        <is>
          <t>Г2</t>
        </is>
      </c>
      <c r="D18" s="20" t="inlineStr">
        <is>
          <t>Г3</t>
        </is>
      </c>
      <c r="E18" s="20" t="inlineStr">
        <is>
          <t>Г4</t>
        </is>
      </c>
      <c r="F18" s="20" t="inlineStr">
        <is>
          <t>Г5</t>
        </is>
      </c>
    </row>
    <row r="19" ht="20" customHeight="1">
      <c r="A19" s="107" t="inlineStr">
        <is>
          <t>ПРОВЕРКА</t>
        </is>
      </c>
      <c r="B19" s="20" t="inlineStr">
        <is>
          <t>Стык1-2</t>
        </is>
      </c>
      <c r="C19" s="20" t="inlineStr">
        <is>
          <t>Стык2-3</t>
        </is>
      </c>
      <c r="D19" s="20" t="inlineStr">
        <is>
          <t>Стык3-4</t>
        </is>
      </c>
      <c r="E19" s="20" t="inlineStr">
        <is>
          <t>Стык4-5</t>
        </is>
      </c>
      <c r="F19" s="20" t="inlineStr">
        <is>
          <t>—</t>
        </is>
      </c>
    </row>
    <row r="20" ht="20" customHeight="1">
      <c r="A20" s="108" t="inlineStr">
        <is>
          <t>PP&amp;E: Closing M(12k) = Opening M(12k+1) [стыки годов]</t>
        </is>
      </c>
      <c r="B20" s="109">
        <f>IF(ABS('CAPEX &amp; D&amp;A'!P18-'CAPEX &amp; D&amp;A'!Q16)&lt;0.05,"✓","✗")</f>
        <v/>
      </c>
      <c r="C20" s="109">
        <f>IF(ABS('CAPEX &amp; D&amp;A'!AB18-'CAPEX &amp; D&amp;A'!AC16)&lt;0.05,"✓","✗")</f>
        <v/>
      </c>
      <c r="D20" s="109">
        <f>IF(ABS('CAPEX &amp; D&amp;A'!AN18-'CAPEX &amp; D&amp;A'!AO16)&lt;0.05,"✓","✗")</f>
        <v/>
      </c>
      <c r="E20" s="109">
        <f>IF(ABS('CAPEX &amp; D&amp;A'!AZ18-'CAPEX &amp; D&amp;A'!BA16)&lt;0.05,"✓","✗")</f>
        <v/>
      </c>
      <c r="F20" s="109" t="inlineStr">
        <is>
          <t>—</t>
        </is>
      </c>
    </row>
    <row r="21" ht="20" customHeight="1">
      <c r="A21" s="110" t="inlineStr">
        <is>
          <t>Net PP&amp;E ≥ 0</t>
        </is>
      </c>
      <c r="B21" s="109">
        <f>IF('CAPEX &amp; D&amp;A'!BN26&gt;=0,"✓","✗")</f>
        <v/>
      </c>
      <c r="C21" s="109">
        <f>IF('CAPEX &amp; D&amp;A'!BO26&gt;=0,"✓","✗")</f>
        <v/>
      </c>
      <c r="D21" s="109">
        <f>IF('CAPEX &amp; D&amp;A'!BP26&gt;=0,"✓","✗")</f>
        <v/>
      </c>
      <c r="E21" s="109">
        <f>IF('CAPEX &amp; D&amp;A'!BQ26&gt;=0,"✓","✗")</f>
        <v/>
      </c>
      <c r="F21" s="109">
        <f>IF('CAPEX &amp; D&amp;A'!BR26&gt;=0,"✓","✗")</f>
        <v/>
      </c>
    </row>
    <row r="23" ht="22" customHeight="1">
      <c r="A23" s="41" t="inlineStr">
        <is>
          <t xml:space="preserve">  ЧАСТЬ 4 — СКВОЗНЫЕ ПРОВЕРКИ: CASH FLOW</t>
        </is>
      </c>
    </row>
    <row r="24" ht="20" customHeight="1">
      <c r="A24" s="107" t="inlineStr">
        <is>
          <t>ПРОВЕРКА</t>
        </is>
      </c>
      <c r="B24" s="20" t="inlineStr">
        <is>
          <t>Г1</t>
        </is>
      </c>
      <c r="C24" s="20" t="inlineStr">
        <is>
          <t>Г2</t>
        </is>
      </c>
      <c r="D24" s="20" t="inlineStr">
        <is>
          <t>Г3</t>
        </is>
      </c>
      <c r="E24" s="20" t="inlineStr">
        <is>
          <t>Г4</t>
        </is>
      </c>
      <c r="F24" s="20" t="inlineStr">
        <is>
          <t>Г5</t>
        </is>
      </c>
    </row>
    <row r="25" ht="20" customHeight="1">
      <c r="A25" s="110" t="inlineStr">
        <is>
          <t>CF↔BS: Closing Cash (CF) = Cash баланса (допуск 0.001)</t>
        </is>
      </c>
      <c r="B25" s="109">
        <f>IF(ABS('Cash Flow'!BN29)&lt;0.001,"✓","✗")</f>
        <v/>
      </c>
      <c r="C25" s="109">
        <f>IF(ABS('Cash Flow'!BO29)&lt;0.001,"✓","✗")</f>
        <v/>
      </c>
      <c r="D25" s="109">
        <f>IF(ABS('Cash Flow'!BP29)&lt;0.001,"✓","✗")</f>
        <v/>
      </c>
      <c r="E25" s="109">
        <f>IF(ABS('Cash Flow'!BQ29)&lt;0.001,"✓","✗")</f>
        <v/>
      </c>
      <c r="F25" s="109">
        <f>IF(ABS('Cash Flow'!BR29)&lt;0.001,"✓","✗")</f>
        <v/>
      </c>
    </row>
    <row r="26" ht="20" customHeight="1">
      <c r="A26" s="108" t="inlineStr">
        <is>
          <t>CF↔BS помесячно: все 60 месяцев (MAX|разницы| &lt; 0.001)</t>
        </is>
      </c>
      <c r="B26" s="109">
        <f>IF(AND(MAX('Cash Flow'!E29:BL29)&lt;0.001,MIN('Cash Flow'!E29:BL29)&gt;-0.001),"✓","✗")</f>
        <v/>
      </c>
      <c r="C26" s="109" t="inlineStr">
        <is>
          <t>—</t>
        </is>
      </c>
      <c r="D26" s="109" t="inlineStr">
        <is>
          <t>—</t>
        </is>
      </c>
      <c r="E26" s="109" t="inlineStr">
        <is>
          <t>—</t>
        </is>
      </c>
      <c r="F26" s="109" t="inlineStr">
        <is>
          <t>—</t>
        </is>
      </c>
    </row>
    <row r="28" ht="22" customHeight="1">
      <c r="A28" s="41" t="inlineStr">
        <is>
          <t xml:space="preserve">  ЧАСТЬ 4B — НЕЗАВИСИМЫЕ ТЕСТЫ: NWC / НДС / RE (от первоисточников)</t>
        </is>
      </c>
    </row>
    <row r="29" ht="20" customHeight="1">
      <c r="A29" s="107" t="inlineStr">
        <is>
          <t>ПРОВЕРКА</t>
        </is>
      </c>
      <c r="B29" s="20" t="inlineStr">
        <is>
          <t>Г1</t>
        </is>
      </c>
      <c r="C29" s="20" t="inlineStr">
        <is>
          <t>Г2</t>
        </is>
      </c>
      <c r="D29" s="20" t="inlineStr">
        <is>
          <t>Г3</t>
        </is>
      </c>
      <c r="E29" s="20" t="inlineStr">
        <is>
          <t>Г4</t>
        </is>
      </c>
      <c r="F29" s="20" t="inlineStr">
        <is>
          <t>Г5</t>
        </is>
      </c>
    </row>
    <row r="30" ht="20" customHeight="1">
      <c r="A30" s="108" t="inlineStr">
        <is>
          <t>AR независимо: Выручка(м)×12×DSO/365 = Баланс!AR [все 60 мес]</t>
        </is>
      </c>
      <c r="B30" s="109">
        <f>IF(SUMPRODUCT(--(ABS(Выручка!$E$30:$BL$30*12*Input!$BN$94/365-Баланс!$E$8:$BL$8)&gt;0.01))=0,"✓","✗")</f>
        <v/>
      </c>
      <c r="C30" s="109" t="inlineStr">
        <is>
          <t>—</t>
        </is>
      </c>
      <c r="D30" s="109" t="inlineStr">
        <is>
          <t>—</t>
        </is>
      </c>
      <c r="E30" s="109" t="inlineStr">
        <is>
          <t>—</t>
        </is>
      </c>
      <c r="F30" s="109" t="inlineStr">
        <is>
          <t>—</t>
        </is>
      </c>
    </row>
    <row r="31" ht="20" customHeight="1">
      <c r="A31" s="110" t="inlineStr">
        <is>
          <t>Inventory независимо: COGS(м)×12×DIO/365 = Баланс!Inventory [все 60 мес]</t>
        </is>
      </c>
      <c r="B31" s="109">
        <f>IF(SUMPRODUCT(--(ABS('COGS &amp; SGA'!$E$15:$BL$15*12*Input!$BN$95/365-Баланс!$E$7:$BL$7)&gt;0.01))=0,"✓","✗")</f>
        <v/>
      </c>
      <c r="C31" s="109" t="inlineStr">
        <is>
          <t>—</t>
        </is>
      </c>
      <c r="D31" s="109" t="inlineStr">
        <is>
          <t>—</t>
        </is>
      </c>
      <c r="E31" s="109" t="inlineStr">
        <is>
          <t>—</t>
        </is>
      </c>
      <c r="F31" s="109" t="inlineStr">
        <is>
          <t>—</t>
        </is>
      </c>
    </row>
    <row r="32" ht="20" customHeight="1">
      <c r="A32" s="108" t="inlineStr">
        <is>
          <t>AP независимо: COGS(м)×12×DPO/365 = Баланс!AP [все 60 мес]</t>
        </is>
      </c>
      <c r="B32" s="109">
        <f>IF(SUMPRODUCT(--(ABS('COGS &amp; SGA'!$E$15:$BL$15*12*Input!$BN$96/365-Баланс!$E$13:$BL$13)&gt;0.01))=0,"✓","✗")</f>
        <v/>
      </c>
      <c r="C32" s="109" t="inlineStr">
        <is>
          <t>—</t>
        </is>
      </c>
      <c r="D32" s="109" t="inlineStr">
        <is>
          <t>—</t>
        </is>
      </c>
      <c r="E32" s="109" t="inlineStr">
        <is>
          <t>—</t>
        </is>
      </c>
      <c r="F32" s="109" t="inlineStr">
        <is>
          <t>—</t>
        </is>
      </c>
    </row>
    <row r="33" ht="20" customHeight="1">
      <c r="A33" s="110" t="inlineStr">
        <is>
          <t>RE независимо: RE₀ + накопленный NI (P&amp;L) = Баланс!RE [по декабрям]</t>
        </is>
      </c>
      <c r="B33" s="109">
        <f>IF(ABS(Баланс!P20-(Input!$BN$97+SUM('P&amp;L'!$E$36:P36)))&lt;0.01,"✓","✗")</f>
        <v/>
      </c>
      <c r="C33" s="109">
        <f>IF(ABS(Баланс!AB20-(Input!$BN$97+SUM('P&amp;L'!$E$36:AB36)))&lt;0.01,"✓","✗")</f>
        <v/>
      </c>
      <c r="D33" s="109">
        <f>IF(ABS(Баланс!AN20-(Input!$BN$97+SUM('P&amp;L'!$E$36:AN36)))&lt;0.01,"✓","✗")</f>
        <v/>
      </c>
      <c r="E33" s="109">
        <f>IF(ABS(Баланс!AZ20-(Input!$BN$97+SUM('P&amp;L'!$E$36:AZ36)))&lt;0.01,"✓","✗")</f>
        <v/>
      </c>
      <c r="F33" s="109">
        <f>IF(ABS(Баланс!BL20-(Input!$BN$97+SUM('P&amp;L'!$E$36:BL36)))&lt;0.01,"✓","✗")</f>
        <v/>
      </c>
    </row>
    <row r="35" ht="22" customHeight="1">
      <c r="A35" s="41" t="inlineStr">
        <is>
          <t xml:space="preserve">  ЧАСТЬ 5 — ДОЛГОВОЕ ФИНАНСИРОВАНИЕ</t>
        </is>
      </c>
    </row>
    <row r="36" ht="20" customHeight="1">
      <c r="A36" s="107" t="inlineStr">
        <is>
          <t>ПРОВЕРКА</t>
        </is>
      </c>
      <c r="B36" s="20" t="inlineStr">
        <is>
          <t>Г1</t>
        </is>
      </c>
      <c r="C36" s="20" t="inlineStr">
        <is>
          <t>Г2</t>
        </is>
      </c>
      <c r="D36" s="20" t="inlineStr">
        <is>
          <t>Г3</t>
        </is>
      </c>
      <c r="E36" s="20" t="inlineStr">
        <is>
          <t>Г4</t>
        </is>
      </c>
      <c r="F36" s="20" t="inlineStr">
        <is>
          <t>Г5</t>
        </is>
      </c>
    </row>
    <row r="37" ht="20" customHeight="1">
      <c r="A37" s="110" t="inlineStr">
        <is>
          <t>DSCR ≥ 1.2 (при нулевом долге — н/п, не предупреждение)</t>
        </is>
      </c>
      <c r="B37" s="109">
        <f>IF(Input!$BN$79=0,"н/п",IF('Долговое финансирование'!BN18&gt;=1.2,"✓","⚠ &lt;1.2"))</f>
        <v/>
      </c>
      <c r="C37" s="109">
        <f>IF(Input!$BN$79=0,"н/п",IF('Долговое финансирование'!BO18&gt;=1.2,"✓","⚠ &lt;1.2"))</f>
        <v/>
      </c>
      <c r="D37" s="109">
        <f>IF(Input!$BN$79=0,"н/п",IF('Долговое финансирование'!BP18&gt;=1.2,"✓","⚠ &lt;1.2"))</f>
        <v/>
      </c>
      <c r="E37" s="109">
        <f>IF(Input!$BN$79=0,"н/п",IF('Долговое финансирование'!BQ18&gt;=1.2,"✓","⚠ &lt;1.2"))</f>
        <v/>
      </c>
      <c r="F37" s="109">
        <f>IF(Input!$BN$79=0,"н/п",IF('Долговое финансирование'!BR18&gt;=1.2,"✓","⚠ &lt;1.2"))</f>
        <v/>
      </c>
    </row>
    <row r="38" ht="20" customHeight="1">
      <c r="A38" s="108" t="inlineStr">
        <is>
          <t>Cash ≥ Min Cash во всех 60 мес (revolver поддерживает)</t>
        </is>
      </c>
      <c r="B38" s="109">
        <f>IF(MIN('Cash Flow'!E25:BL25)&gt;=Input!$BN$83-0.001,"✓","✗")</f>
        <v/>
      </c>
      <c r="C38" s="109" t="inlineStr">
        <is>
          <t>—</t>
        </is>
      </c>
      <c r="D38" s="109" t="inlineStr">
        <is>
          <t>—</t>
        </is>
      </c>
      <c r="E38" s="109" t="inlineStr">
        <is>
          <t>—</t>
        </is>
      </c>
      <c r="F38" s="109" t="inlineStr">
        <is>
          <t>—</t>
        </is>
      </c>
    </row>
    <row r="39" ht="20" customHeight="1">
      <c r="A39" s="110" t="inlineStr">
        <is>
          <t>Выборка revolver в пределах лимита (0 = без лимита)</t>
        </is>
      </c>
      <c r="B39" s="109">
        <f>IF(OR(Input!$BN$86=0,MAX('Долговое финансирование'!E24:BL24)&lt;=Input!$BN$86),"✓","⚠ лимит")</f>
        <v/>
      </c>
      <c r="C39" s="109" t="inlineStr">
        <is>
          <t>—</t>
        </is>
      </c>
      <c r="D39" s="109" t="inlineStr">
        <is>
          <t>—</t>
        </is>
      </c>
      <c r="E39" s="109" t="inlineStr">
        <is>
          <t>—</t>
        </is>
      </c>
      <c r="F39" s="109" t="inlineStr">
        <is>
          <t>—</t>
        </is>
      </c>
    </row>
    <row r="41" ht="22" customHeight="1">
      <c r="A41" s="78" t="inlineStr">
        <is>
          <t xml:space="preserve">  ЧАСТЬ 6 — SANITY CHECKS: МАРЖИ (пороги отраслевого пресета: horeca_greenfield)</t>
        </is>
      </c>
    </row>
    <row r="42" ht="20" customHeight="1">
      <c r="A42" s="107" t="inlineStr">
        <is>
          <t>ПРОВЕРКА</t>
        </is>
      </c>
      <c r="B42" s="20" t="inlineStr">
        <is>
          <t>Г1</t>
        </is>
      </c>
      <c r="C42" s="20" t="inlineStr">
        <is>
          <t>Г2</t>
        </is>
      </c>
      <c r="D42" s="20" t="inlineStr">
        <is>
          <t>Г3</t>
        </is>
      </c>
      <c r="E42" s="20" t="inlineStr">
        <is>
          <t>Г4</t>
        </is>
      </c>
      <c r="F42" s="20" t="inlineStr">
        <is>
          <t>Г5</t>
        </is>
      </c>
    </row>
    <row r="43" ht="20" customHeight="1">
      <c r="A43" s="110" t="inlineStr">
        <is>
          <t>Gross Margin % (норматив 55-77%)</t>
        </is>
      </c>
      <c r="B43" s="111">
        <f>'P&amp;L'!BN12</f>
        <v/>
      </c>
      <c r="C43" s="111">
        <f>'P&amp;L'!BO12</f>
        <v/>
      </c>
      <c r="D43" s="111">
        <f>'P&amp;L'!BP12</f>
        <v/>
      </c>
      <c r="E43" s="111">
        <f>'P&amp;L'!BQ12</f>
        <v/>
      </c>
      <c r="F43" s="111">
        <f>'P&amp;L'!BR12</f>
        <v/>
      </c>
    </row>
    <row r="44" ht="20" customHeight="1">
      <c r="A44" s="108" t="inlineStr">
        <is>
          <t xml:space="preserve">  → в норме?</t>
        </is>
      </c>
      <c r="B44" s="109">
        <f>IF(AND('P&amp;L'!BN12&gt;=0.55,'P&amp;L'!BN12&lt;=0.77),"✓","⚠ вне 55-77%")</f>
        <v/>
      </c>
      <c r="C44" s="109">
        <f>IF(AND('P&amp;L'!BO12&gt;=0.55,'P&amp;L'!BO12&lt;=0.77),"✓","⚠ вне 55-77%")</f>
        <v/>
      </c>
      <c r="D44" s="109">
        <f>IF(AND('P&amp;L'!BP12&gt;=0.55,'P&amp;L'!BP12&lt;=0.77),"✓","⚠ вне 55-77%")</f>
        <v/>
      </c>
      <c r="E44" s="109">
        <f>IF(AND('P&amp;L'!BQ12&gt;=0.55,'P&amp;L'!BQ12&lt;=0.77),"✓","⚠ вне 55-77%")</f>
        <v/>
      </c>
      <c r="F44" s="109">
        <f>IF(AND('P&amp;L'!BR12&gt;=0.55,'P&amp;L'!BR12&lt;=0.77),"✓","⚠ вне 55-77%")</f>
        <v/>
      </c>
    </row>
    <row r="45" ht="20" customHeight="1">
      <c r="A45" s="110" t="inlineStr">
        <is>
          <t>EBITDA Margin % (норматив 25-49%)</t>
        </is>
      </c>
      <c r="B45" s="111">
        <f>'P&amp;L'!BN18</f>
        <v/>
      </c>
      <c r="C45" s="111">
        <f>'P&amp;L'!BO18</f>
        <v/>
      </c>
      <c r="D45" s="111">
        <f>'P&amp;L'!BP18</f>
        <v/>
      </c>
      <c r="E45" s="111">
        <f>'P&amp;L'!BQ18</f>
        <v/>
      </c>
      <c r="F45" s="111">
        <f>'P&amp;L'!BR18</f>
        <v/>
      </c>
    </row>
    <row r="46" ht="20" customHeight="1">
      <c r="A46" s="108" t="inlineStr">
        <is>
          <t xml:space="preserve">  → в норме?</t>
        </is>
      </c>
      <c r="B46" s="109">
        <f>IF(AND('P&amp;L'!BN18&gt;=0.25,'P&amp;L'!BN18&lt;=0.49),"✓","⚠ вне 25-49%")</f>
        <v/>
      </c>
      <c r="C46" s="109">
        <f>IF(AND('P&amp;L'!BO18&gt;=0.25,'P&amp;L'!BO18&lt;=0.49),"✓","⚠ вне 25-49%")</f>
        <v/>
      </c>
      <c r="D46" s="109">
        <f>IF(AND('P&amp;L'!BP18&gt;=0.25,'P&amp;L'!BP18&lt;=0.49),"✓","⚠ вне 25-49%")</f>
        <v/>
      </c>
      <c r="E46" s="109">
        <f>IF(AND('P&amp;L'!BQ18&gt;=0.25,'P&amp;L'!BQ18&lt;=0.49),"✓","⚠ вне 25-49%")</f>
        <v/>
      </c>
      <c r="F46" s="109">
        <f>IF(AND('P&amp;L'!BR18&gt;=0.25,'P&amp;L'!BR18&lt;=0.49),"✓","⚠ вне 25-49%")</f>
        <v/>
      </c>
    </row>
    <row r="47" ht="20" customHeight="1">
      <c r="A47" s="110" t="inlineStr">
        <is>
          <t>Net Margin % (норматив 15-33%)</t>
        </is>
      </c>
      <c r="B47" s="111">
        <f>'P&amp;L'!BN37</f>
        <v/>
      </c>
      <c r="C47" s="111">
        <f>'P&amp;L'!BO37</f>
        <v/>
      </c>
      <c r="D47" s="111">
        <f>'P&amp;L'!BP37</f>
        <v/>
      </c>
      <c r="E47" s="111">
        <f>'P&amp;L'!BQ37</f>
        <v/>
      </c>
      <c r="F47" s="111">
        <f>'P&amp;L'!BR37</f>
        <v/>
      </c>
    </row>
    <row r="48" ht="20" customHeight="1">
      <c r="A48" s="108" t="inlineStr">
        <is>
          <t xml:space="preserve">  → в норме?</t>
        </is>
      </c>
      <c r="B48" s="109">
        <f>IF(AND('P&amp;L'!BN37&gt;=0.15,'P&amp;L'!BN37&lt;=0.33),"✓","⚠ вне 15-33%")</f>
        <v/>
      </c>
      <c r="C48" s="109">
        <f>IF(AND('P&amp;L'!BO37&gt;=0.15,'P&amp;L'!BO37&lt;=0.33),"✓","⚠ вне 15-33%")</f>
        <v/>
      </c>
      <c r="D48" s="109">
        <f>IF(AND('P&amp;L'!BP37&gt;=0.15,'P&amp;L'!BP37&lt;=0.33),"✓","⚠ вне 15-33%")</f>
        <v/>
      </c>
      <c r="E48" s="109">
        <f>IF(AND('P&amp;L'!BQ37&gt;=0.15,'P&amp;L'!BQ37&lt;=0.33),"✓","⚠ вне 15-33%")</f>
        <v/>
      </c>
      <c r="F48" s="109">
        <f>IF(AND('P&amp;L'!BR37&gt;=0.15,'P&amp;L'!BR37&lt;=0.33),"✓","⚠ вне 15-33%")</f>
        <v/>
      </c>
    </row>
    <row r="50" ht="22" customHeight="1">
      <c r="A50" s="112" t="inlineStr">
        <is>
          <t xml:space="preserve">  ИТОГОВЫЙ ВЕРДИКТ</t>
        </is>
      </c>
    </row>
    <row r="51" ht="28" customHeight="1">
      <c r="A51" s="113">
        <f>IF(COUNTIF(B6:F49,"✗")=0,"✅ ВСЕ АРИФМЕТИЧЕСКИЕ ПРОВЕРКИ ПРОШЛИ — модель сходится","❌ ЕСТЬ ОШИБКИ (✗) — см. строки выше")</f>
        <v/>
      </c>
    </row>
    <row r="52" ht="18" customHeight="1">
      <c r="A52" s="31" t="inlineStr">
        <is>
          <t xml:space="preserve">  ⚠ — предупреждения (sanity/нормативы) не блокируют модель, но требуют внимания. ✗ — арифметические ошибки требуют исправления.</t>
        </is>
      </c>
    </row>
  </sheetData>
  <mergeCells count="12">
    <mergeCell ref="A51:F51"/>
    <mergeCell ref="A52:F52"/>
    <mergeCell ref="A41:I41"/>
    <mergeCell ref="A11:I11"/>
    <mergeCell ref="A28:I28"/>
    <mergeCell ref="A50:I50"/>
    <mergeCell ref="A2:H2"/>
    <mergeCell ref="A17:I17"/>
    <mergeCell ref="A23:I23"/>
    <mergeCell ref="A1:H1"/>
    <mergeCell ref="A35:I35"/>
    <mergeCell ref="A4:I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34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00" customWidth="1" min="3" max="3"/>
  </cols>
  <sheetData>
    <row r="2" ht="28" customHeight="1">
      <c r="B2" s="32" t="inlineStr">
        <is>
          <t xml:space="preserve">  БАННЫЙ КОМПЛЕКС (ДЕМО) — ФИНАНСОВАЯ МОДЕЛЬ · ИНСТРУКЦИЯ</t>
        </is>
      </c>
    </row>
    <row r="3" ht="20" customHeight="1">
      <c r="B3" s="33" t="inlineStr">
        <is>
          <t xml:space="preserve">  Построена CYBER CFO · методология FAST · горизонт 5 лет · млн ₽</t>
        </is>
      </c>
    </row>
    <row r="5" ht="22" customHeight="1">
      <c r="B5" s="4" t="inlineStr">
        <is>
          <t xml:space="preserve">  ЦВЕТОВАЯ ЛЕГЕНДА — ГЛАВНОЕ ПРАВИЛО</t>
        </is>
      </c>
    </row>
    <row r="6">
      <c r="B6" s="34" t="inlineStr">
        <is>
          <t>🟡 ЖЁЛТАЯ ячейка</t>
        </is>
      </c>
      <c r="C6" s="35" t="inlineStr">
        <is>
          <t>ВВОД. Единственные ячейки, которые можно менять. Все допущения модели сосредоточены здесь: цены, объёмы, ставки, дни оборота, макро-параметры.</t>
        </is>
      </c>
    </row>
    <row r="7">
      <c r="B7" s="36" t="inlineStr">
        <is>
          <t>⬜ СЕРАЯ ячейка</t>
        </is>
      </c>
      <c r="C7" s="37" t="inlineStr">
        <is>
          <t>ФОРМУЛА / расчёт. Не редактировать — пересчитывается автоматически от жёлтых.</t>
        </is>
      </c>
    </row>
    <row r="8">
      <c r="B8" s="36" t="inlineStr">
        <is>
          <t>🟩 ЗЕЛЁНАЯ строка</t>
        </is>
      </c>
      <c r="C8" s="37" t="inlineStr">
        <is>
          <t>ИТОГ / экспорт на другие листы. Ключевые результаты блока.</t>
        </is>
      </c>
    </row>
    <row r="9">
      <c r="B9" s="36" t="inlineStr">
        <is>
          <t>Правило целостности</t>
        </is>
      </c>
      <c r="C9" s="37" t="inlineStr">
        <is>
          <t>Меняешь ТОЛЬКО жёлтое → вся модель (P&amp;L, Баланс, Cash Flow, DCF, дашборд) пересчитывается сама. Ручная правка серых ячеек ломает связность — лист «Проверки» это покажет.</t>
        </is>
      </c>
    </row>
    <row r="11" ht="22" customHeight="1">
      <c r="B11" s="4" t="inlineStr">
        <is>
          <t xml:space="preserve">  БЫСТРЫЙ СТАРТ — 3 ШАГА</t>
        </is>
      </c>
    </row>
    <row r="12">
      <c r="B12" s="36" t="inlineStr">
        <is>
          <t>1. Допущения</t>
        </is>
      </c>
      <c r="C12" s="37" t="inlineStr">
        <is>
          <t>Лист Input: проверь жёлтые ячейки — объёмы, цены, темпы роста, статьи затрат, CAPEX, ставки, дни оборота (DSO/DIO/DPO), блок «Макроэкономика» (ключевая ставка ЦБ, WACC, терминальный рост g).</t>
        </is>
      </c>
    </row>
    <row r="13">
      <c r="B13" s="36" t="inlineStr">
        <is>
          <t>2. Сценарий</t>
        </is>
      </c>
      <c r="C13" s="37" t="inlineStr">
        <is>
          <t>Лист «Сценарии»: жёлтый переключатель (1 = BEAR пессимизм, 2 = BASE база, 3 = BULL оптимизм). Матрица допущений сценариев тоже редактируется. Переключение мгновенно пересчитывает всю модель.</t>
        </is>
      </c>
    </row>
    <row r="14">
      <c r="B14" s="36" t="inlineStr">
        <is>
          <t>3. Результат</t>
        </is>
      </c>
      <c r="C14" s="37" t="inlineStr">
        <is>
          <t>Лист «Обзор» — дашборд с KPI и графиками. Лист «Проверки» — контроль целостности: внизу вердикт «✅ модель сходится». Если после твоих правок появился ✗ — вернись к шагу 1 (обычно сломана серая формула).</t>
        </is>
      </c>
    </row>
    <row r="16" ht="22" customHeight="1">
      <c r="B16" s="4" t="inlineStr">
        <is>
          <t xml:space="preserve">  КАРТА ЛИСТОВ</t>
        </is>
      </c>
    </row>
    <row r="17">
      <c r="B17" s="36" t="inlineStr">
        <is>
          <t>Обзор</t>
        </is>
      </c>
      <c r="C17" s="37" t="inlineStr">
        <is>
          <t>Дашборд: KPI-карточки (выручка, EBITDA, прибыль, оценка), графики динамики, сводка P&amp;L и DCF.</t>
        </is>
      </c>
    </row>
    <row r="18">
      <c r="B18" s="36" t="inlineStr">
        <is>
          <t>Input</t>
        </is>
      </c>
      <c r="C18" s="37" t="inlineStr">
        <is>
          <t>ВСЕ допущения модели: сегменты выручки, затраты, CAPEX, долг, налоги, оборотный капитал, макроэкономика.</t>
        </is>
      </c>
    </row>
    <row r="19">
      <c r="B19" s="36" t="inlineStr">
        <is>
          <t>Сценарии</t>
        </is>
      </c>
      <c r="C19" s="37" t="inlineStr">
        <is>
          <t>Переключатель Bear/Base/Bull + матрица сценарных допущений + сводка сценариев.</t>
        </is>
      </c>
    </row>
    <row r="20">
      <c r="B20" s="36" t="inlineStr">
        <is>
          <t>Выручка</t>
        </is>
      </c>
      <c r="C20" s="37" t="inlineStr">
        <is>
          <t>Расчёт выручки по сегментам: объём × цена, цепная индексация цен.</t>
        </is>
      </c>
    </row>
    <row r="21">
      <c r="B21" s="36" t="inlineStr">
        <is>
          <t>COGS &amp; SGA</t>
        </is>
      </c>
      <c r="C21" s="37" t="inlineStr">
        <is>
          <t>Себестоимость и операционные расходы по статьям (% выручки и пр.), Gross Profit, EBITDA.</t>
        </is>
      </c>
    </row>
    <row r="22">
      <c r="B22" s="36" t="inlineStr">
        <is>
          <t>CAPEX &amp; D&amp;A</t>
        </is>
      </c>
      <c r="C22" s="37" t="inlineStr">
        <is>
          <t>Инвестиции, corkscrew основных средств (PP&amp;E), амортизация, EBIT.</t>
        </is>
      </c>
    </row>
    <row r="23">
      <c r="B23" s="36" t="inlineStr">
        <is>
          <t>Долговое финансирование</t>
        </is>
      </c>
      <c r="C23" s="37" t="inlineStr">
        <is>
          <t>Кредит: график погашения (linear amortization), проценты, DSCR.</t>
        </is>
      </c>
    </row>
    <row r="24">
      <c r="B24" s="36" t="inlineStr">
        <is>
          <t>Налоги</t>
        </is>
      </c>
      <c r="C24" s="37" t="inlineStr">
        <is>
          <t>Налог на прибыль (EBT × ставка), НДС справочно, Net Income.</t>
        </is>
      </c>
    </row>
    <row r="25">
      <c r="B25" s="36" t="inlineStr">
        <is>
          <t>Баланс</t>
        </is>
      </c>
      <c r="C25" s="37" t="inlineStr">
        <is>
          <t>Активы = Пассивы: оборотный капитал через DSO/DIO/DPO, RE corkscrew, Cash как балансирующая статья.</t>
        </is>
      </c>
    </row>
    <row r="26">
      <c r="B26" s="36" t="inlineStr">
        <is>
          <t>Cash Flow</t>
        </is>
      </c>
      <c r="C26" s="37" t="inlineStr">
        <is>
          <t>Денежный поток косвенным методом (CFO/CFI/CFF) + DCF-оценка: FCF, WACC, Terminal Value, EV, Equity Value.</t>
        </is>
      </c>
    </row>
    <row r="27">
      <c r="B27" s="36" t="inlineStr">
        <is>
          <t>P&amp;L</t>
        </is>
      </c>
      <c r="C27" s="37" t="inlineStr">
        <is>
          <t>Отчёт о прибылях и убытках: полная цепочка Revenue → Net Income с маржами.</t>
        </is>
      </c>
    </row>
    <row r="28">
      <c r="B28" s="36" t="inlineStr">
        <is>
          <t>Проверки</t>
        </is>
      </c>
      <c r="C28" s="37" t="inlineStr">
        <is>
          <t>Автоконтроль: сквозная арифметика всех отчётов, sanity-checks против отраслевых норм, итоговый вердикт.</t>
        </is>
      </c>
    </row>
    <row r="30" ht="22" customHeight="1">
      <c r="B30" s="4" t="inlineStr">
        <is>
          <t xml:space="preserve">  МЕТОДОЛОГИЯ И ОГРАНИЧЕНИЯ</t>
        </is>
      </c>
    </row>
    <row r="31">
      <c r="B31" s="36" t="inlineStr">
        <is>
          <t>Стандарт</t>
        </is>
      </c>
      <c r="C31" s="37" t="inlineStr">
        <is>
          <t>FAST: прозрачные короткие формулы, corkscrew-структуры для запасов (PP&amp;E, долг, RE, Cash), разделение ввод/расчёт/итог, один ряд — одна формула.</t>
        </is>
      </c>
    </row>
    <row r="32">
      <c r="B32" s="36" t="inlineStr">
        <is>
          <t>Помесячная сетка</t>
        </is>
      </c>
      <c r="C32" s="37" t="inlineStr">
        <is>
          <t>Расчётные листы — 60 месяцев (М1 Г1 … Дек Г5) + 5 годовых колонок справа (Год1–Год5). Месяцы сгруппированы по годам (кнопка «−» над колонками схлопывает год до годового вида). Годовые колонки: потоки = сумма 12 мес, остатки (Cash/долг/PP&amp;E/RE) = значение декабря, маржи и DSCR = отношение годовых потоков. Сезонность и рамп-ап задаются профилем в Input.</t>
        </is>
      </c>
    </row>
    <row r="33">
      <c r="B33" s="36" t="inlineStr">
        <is>
          <t>Дисклеймер</t>
        </is>
      </c>
      <c r="C33" s="37" t="inlineStr">
        <is>
          <t>Модель — инструмент анализа допущений, а не гарантия результата. Оценка (DCF) чувствительна к WACC и терминальному росту — проверяй вилку на листе «Сценарии».</t>
        </is>
      </c>
    </row>
    <row r="34">
      <c r="B34" s="36" t="inlineStr">
        <is>
          <t>Ограничение (до v8)</t>
        </is>
      </c>
      <c r="C34" s="37" t="inlineStr">
        <is>
          <t>Стоимость финансирования кассового разрыва не моделируется; при устойчивом Cash &lt; 0 показатели EBT/налог/EV завышены. Механизм revolver — в следующей версии модели.</t>
        </is>
      </c>
    </row>
  </sheetData>
  <mergeCells count="6">
    <mergeCell ref="B30:C30"/>
    <mergeCell ref="B16:C16"/>
    <mergeCell ref="B2:C2"/>
    <mergeCell ref="B11:C11"/>
    <mergeCell ref="B3:C3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0"/>
    <pageSetUpPr/>
  </sheetPr>
  <dimension ref="A1:BR100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ИНПУТЫ — ВВОДНЫЕ ДАННЫЕ (помесячно)</t>
        </is>
      </c>
    </row>
    <row r="2" ht="18" customHeight="1">
      <c r="A2" s="38" t="inlineStr">
        <is>
          <t xml:space="preserve">  🟡 Жёлтые = ввод  |  Валюта: RUB  |  цены и статьи затрат — НЕТТО, без НДС (v8.4)  |  цена индексируется раз в год (январь)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СЕГМЕНТ: ОБЩАЯ ЗОНА (БИЛЕТЫ)</t>
        </is>
      </c>
    </row>
    <row r="6">
      <c r="A6" s="42" t="inlineStr">
        <is>
          <t xml:space="preserve">    Объём — норматив года</t>
        </is>
      </c>
      <c r="B6" s="43" t="inlineStr">
        <is>
          <t>ед.</t>
        </is>
      </c>
      <c r="C6" s="44">
        <f>SUM(BN6:BR6)</f>
        <v/>
      </c>
      <c r="D6" s="45" t="inlineStr"/>
      <c r="E6" s="46" t="inlineStr">
        <is>
          <t>·</t>
        </is>
      </c>
      <c r="F6" s="46" t="inlineStr">
        <is>
          <t>·</t>
        </is>
      </c>
      <c r="G6" s="46" t="inlineStr">
        <is>
          <t>·</t>
        </is>
      </c>
      <c r="H6" s="46" t="inlineStr">
        <is>
          <t>·</t>
        </is>
      </c>
      <c r="I6" s="46" t="inlineStr">
        <is>
          <t>·</t>
        </is>
      </c>
      <c r="J6" s="46" t="inlineStr">
        <is>
          <t>·</t>
        </is>
      </c>
      <c r="K6" s="46" t="inlineStr">
        <is>
          <t>·</t>
        </is>
      </c>
      <c r="L6" s="46" t="inlineStr">
        <is>
          <t>·</t>
        </is>
      </c>
      <c r="M6" s="46" t="inlineStr">
        <is>
          <t>·</t>
        </is>
      </c>
      <c r="N6" s="46" t="inlineStr">
        <is>
          <t>·</t>
        </is>
      </c>
      <c r="O6" s="46" t="inlineStr">
        <is>
          <t>·</t>
        </is>
      </c>
      <c r="P6" s="46" t="inlineStr">
        <is>
          <t>·</t>
        </is>
      </c>
      <c r="Q6" s="46" t="inlineStr">
        <is>
          <t>·</t>
        </is>
      </c>
      <c r="R6" s="46" t="inlineStr">
        <is>
          <t>·</t>
        </is>
      </c>
      <c r="S6" s="46" t="inlineStr">
        <is>
          <t>·</t>
        </is>
      </c>
      <c r="T6" s="46" t="inlineStr">
        <is>
          <t>·</t>
        </is>
      </c>
      <c r="U6" s="46" t="inlineStr">
        <is>
          <t>·</t>
        </is>
      </c>
      <c r="V6" s="46" t="inlineStr">
        <is>
          <t>·</t>
        </is>
      </c>
      <c r="W6" s="46" t="inlineStr">
        <is>
          <t>·</t>
        </is>
      </c>
      <c r="X6" s="46" t="inlineStr">
        <is>
          <t>·</t>
        </is>
      </c>
      <c r="Y6" s="46" t="inlineStr">
        <is>
          <t>·</t>
        </is>
      </c>
      <c r="Z6" s="46" t="inlineStr">
        <is>
          <t>·</t>
        </is>
      </c>
      <c r="AA6" s="46" t="inlineStr">
        <is>
          <t>·</t>
        </is>
      </c>
      <c r="AB6" s="46" t="inlineStr">
        <is>
          <t>·</t>
        </is>
      </c>
      <c r="AC6" s="46" t="inlineStr">
        <is>
          <t>·</t>
        </is>
      </c>
      <c r="AD6" s="46" t="inlineStr">
        <is>
          <t>·</t>
        </is>
      </c>
      <c r="AE6" s="46" t="inlineStr">
        <is>
          <t>·</t>
        </is>
      </c>
      <c r="AF6" s="46" t="inlineStr">
        <is>
          <t>·</t>
        </is>
      </c>
      <c r="AG6" s="46" t="inlineStr">
        <is>
          <t>·</t>
        </is>
      </c>
      <c r="AH6" s="46" t="inlineStr">
        <is>
          <t>·</t>
        </is>
      </c>
      <c r="AI6" s="46" t="inlineStr">
        <is>
          <t>·</t>
        </is>
      </c>
      <c r="AJ6" s="46" t="inlineStr">
        <is>
          <t>·</t>
        </is>
      </c>
      <c r="AK6" s="46" t="inlineStr">
        <is>
          <t>·</t>
        </is>
      </c>
      <c r="AL6" s="46" t="inlineStr">
        <is>
          <t>·</t>
        </is>
      </c>
      <c r="AM6" s="46" t="inlineStr">
        <is>
          <t>·</t>
        </is>
      </c>
      <c r="AN6" s="46" t="inlineStr">
        <is>
          <t>·</t>
        </is>
      </c>
      <c r="AO6" s="46" t="inlineStr">
        <is>
          <t>·</t>
        </is>
      </c>
      <c r="AP6" s="46" t="inlineStr">
        <is>
          <t>·</t>
        </is>
      </c>
      <c r="AQ6" s="46" t="inlineStr">
        <is>
          <t>·</t>
        </is>
      </c>
      <c r="AR6" s="46" t="inlineStr">
        <is>
          <t>·</t>
        </is>
      </c>
      <c r="AS6" s="46" t="inlineStr">
        <is>
          <t>·</t>
        </is>
      </c>
      <c r="AT6" s="46" t="inlineStr">
        <is>
          <t>·</t>
        </is>
      </c>
      <c r="AU6" s="46" t="inlineStr">
        <is>
          <t>·</t>
        </is>
      </c>
      <c r="AV6" s="46" t="inlineStr">
        <is>
          <t>·</t>
        </is>
      </c>
      <c r="AW6" s="46" t="inlineStr">
        <is>
          <t>·</t>
        </is>
      </c>
      <c r="AX6" s="46" t="inlineStr">
        <is>
          <t>·</t>
        </is>
      </c>
      <c r="AY6" s="46" t="inlineStr">
        <is>
          <t>·</t>
        </is>
      </c>
      <c r="AZ6" s="46" t="inlineStr">
        <is>
          <t>·</t>
        </is>
      </c>
      <c r="BA6" s="46" t="inlineStr">
        <is>
          <t>·</t>
        </is>
      </c>
      <c r="BB6" s="46" t="inlineStr">
        <is>
          <t>·</t>
        </is>
      </c>
      <c r="BC6" s="46" t="inlineStr">
        <is>
          <t>·</t>
        </is>
      </c>
      <c r="BD6" s="46" t="inlineStr">
        <is>
          <t>·</t>
        </is>
      </c>
      <c r="BE6" s="46" t="inlineStr">
        <is>
          <t>·</t>
        </is>
      </c>
      <c r="BF6" s="46" t="inlineStr">
        <is>
          <t>·</t>
        </is>
      </c>
      <c r="BG6" s="46" t="inlineStr">
        <is>
          <t>·</t>
        </is>
      </c>
      <c r="BH6" s="46" t="inlineStr">
        <is>
          <t>·</t>
        </is>
      </c>
      <c r="BI6" s="46" t="inlineStr">
        <is>
          <t>·</t>
        </is>
      </c>
      <c r="BJ6" s="46" t="inlineStr">
        <is>
          <t>·</t>
        </is>
      </c>
      <c r="BK6" s="46" t="inlineStr">
        <is>
          <t>·</t>
        </is>
      </c>
      <c r="BL6" s="46" t="inlineStr">
        <is>
          <t>·</t>
        </is>
      </c>
      <c r="BN6" s="47" t="n">
        <v>6048</v>
      </c>
      <c r="BO6" s="47" t="n">
        <v>32256</v>
      </c>
      <c r="BP6" s="47" t="n">
        <v>40320</v>
      </c>
      <c r="BQ6" s="47" t="n">
        <v>40320</v>
      </c>
      <c r="BR6" s="47" t="n">
        <v>40320</v>
      </c>
    </row>
    <row r="7">
      <c r="A7" s="42" t="inlineStr">
        <is>
          <t xml:space="preserve">    Сезонность (мес, среднее=1.0)</t>
        </is>
      </c>
      <c r="B7" s="43" t="inlineStr">
        <is>
          <t>×</t>
        </is>
      </c>
      <c r="C7" s="48" t="inlineStr">
        <is>
          <t>—</t>
        </is>
      </c>
      <c r="D7" s="45" t="inlineStr"/>
      <c r="E7" s="49" t="n">
        <v>1.3</v>
      </c>
      <c r="F7" s="49" t="n">
        <v>1.3</v>
      </c>
      <c r="G7" s="49" t="n">
        <v>0.975</v>
      </c>
      <c r="H7" s="49" t="n">
        <v>0.975</v>
      </c>
      <c r="I7" s="49" t="n">
        <v>0.975</v>
      </c>
      <c r="J7" s="49" t="n">
        <v>0.75</v>
      </c>
      <c r="K7" s="49" t="n">
        <v>0.75</v>
      </c>
      <c r="L7" s="49" t="n">
        <v>0.75</v>
      </c>
      <c r="M7" s="49" t="n">
        <v>0.975</v>
      </c>
      <c r="N7" s="49" t="n">
        <v>0.975</v>
      </c>
      <c r="O7" s="49" t="n">
        <v>0.975</v>
      </c>
      <c r="P7" s="49" t="n">
        <v>1.3</v>
      </c>
      <c r="Q7" s="50">
        <f>E7</f>
        <v/>
      </c>
      <c r="R7" s="50">
        <f>F7</f>
        <v/>
      </c>
      <c r="S7" s="50">
        <f>G7</f>
        <v/>
      </c>
      <c r="T7" s="50">
        <f>H7</f>
        <v/>
      </c>
      <c r="U7" s="50">
        <f>I7</f>
        <v/>
      </c>
      <c r="V7" s="50">
        <f>J7</f>
        <v/>
      </c>
      <c r="W7" s="50">
        <f>K7</f>
        <v/>
      </c>
      <c r="X7" s="50">
        <f>L7</f>
        <v/>
      </c>
      <c r="Y7" s="50">
        <f>M7</f>
        <v/>
      </c>
      <c r="Z7" s="50">
        <f>N7</f>
        <v/>
      </c>
      <c r="AA7" s="50">
        <f>O7</f>
        <v/>
      </c>
      <c r="AB7" s="50">
        <f>P7</f>
        <v/>
      </c>
      <c r="AC7" s="50">
        <f>E7</f>
        <v/>
      </c>
      <c r="AD7" s="50">
        <f>F7</f>
        <v/>
      </c>
      <c r="AE7" s="50">
        <f>G7</f>
        <v/>
      </c>
      <c r="AF7" s="50">
        <f>H7</f>
        <v/>
      </c>
      <c r="AG7" s="50">
        <f>I7</f>
        <v/>
      </c>
      <c r="AH7" s="50">
        <f>J7</f>
        <v/>
      </c>
      <c r="AI7" s="50">
        <f>K7</f>
        <v/>
      </c>
      <c r="AJ7" s="50">
        <f>L7</f>
        <v/>
      </c>
      <c r="AK7" s="50">
        <f>M7</f>
        <v/>
      </c>
      <c r="AL7" s="50">
        <f>N7</f>
        <v/>
      </c>
      <c r="AM7" s="50">
        <f>O7</f>
        <v/>
      </c>
      <c r="AN7" s="50">
        <f>P7</f>
        <v/>
      </c>
      <c r="AO7" s="50">
        <f>E7</f>
        <v/>
      </c>
      <c r="AP7" s="50">
        <f>F7</f>
        <v/>
      </c>
      <c r="AQ7" s="50">
        <f>G7</f>
        <v/>
      </c>
      <c r="AR7" s="50">
        <f>H7</f>
        <v/>
      </c>
      <c r="AS7" s="50">
        <f>I7</f>
        <v/>
      </c>
      <c r="AT7" s="50">
        <f>J7</f>
        <v/>
      </c>
      <c r="AU7" s="50">
        <f>K7</f>
        <v/>
      </c>
      <c r="AV7" s="50">
        <f>L7</f>
        <v/>
      </c>
      <c r="AW7" s="50">
        <f>M7</f>
        <v/>
      </c>
      <c r="AX7" s="50">
        <f>N7</f>
        <v/>
      </c>
      <c r="AY7" s="50">
        <f>O7</f>
        <v/>
      </c>
      <c r="AZ7" s="50">
        <f>P7</f>
        <v/>
      </c>
      <c r="BA7" s="50">
        <f>E7</f>
        <v/>
      </c>
      <c r="BB7" s="50">
        <f>F7</f>
        <v/>
      </c>
      <c r="BC7" s="50">
        <f>G7</f>
        <v/>
      </c>
      <c r="BD7" s="50">
        <f>H7</f>
        <v/>
      </c>
      <c r="BE7" s="50">
        <f>I7</f>
        <v/>
      </c>
      <c r="BF7" s="50">
        <f>J7</f>
        <v/>
      </c>
      <c r="BG7" s="50">
        <f>K7</f>
        <v/>
      </c>
      <c r="BH7" s="50">
        <f>L7</f>
        <v/>
      </c>
      <c r="BI7" s="50">
        <f>M7</f>
        <v/>
      </c>
      <c r="BJ7" s="50">
        <f>N7</f>
        <v/>
      </c>
      <c r="BK7" s="50">
        <f>O7</f>
        <v/>
      </c>
      <c r="BL7" s="50">
        <f>P7</f>
        <v/>
      </c>
    </row>
    <row r="8">
      <c r="A8" s="42" t="inlineStr">
        <is>
          <t xml:space="preserve">    Рамп-ап (мес, 1.0 = полная загрузка)</t>
        </is>
      </c>
      <c r="B8" s="43" t="inlineStr">
        <is>
          <t>×</t>
        </is>
      </c>
      <c r="C8" s="48" t="inlineStr">
        <is>
          <t>—</t>
        </is>
      </c>
      <c r="D8" s="45" t="inlineStr"/>
      <c r="E8" s="49" t="n">
        <v>1</v>
      </c>
      <c r="F8" s="49" t="n">
        <v>1</v>
      </c>
      <c r="G8" s="49" t="n">
        <v>1</v>
      </c>
      <c r="H8" s="49" t="n">
        <v>1</v>
      </c>
      <c r="I8" s="49" t="n">
        <v>1</v>
      </c>
      <c r="J8" s="49" t="n">
        <v>1</v>
      </c>
      <c r="K8" s="49" t="n">
        <v>1</v>
      </c>
      <c r="L8" s="49" t="n">
        <v>1</v>
      </c>
      <c r="M8" s="49" t="n">
        <v>1</v>
      </c>
      <c r="N8" s="49" t="n">
        <v>1</v>
      </c>
      <c r="O8" s="49" t="n">
        <v>1</v>
      </c>
      <c r="P8" s="49" t="n">
        <v>1</v>
      </c>
      <c r="Q8" s="49" t="n">
        <v>1</v>
      </c>
      <c r="R8" s="49" t="n">
        <v>1</v>
      </c>
      <c r="S8" s="49" t="n">
        <v>1</v>
      </c>
      <c r="T8" s="49" t="n">
        <v>1</v>
      </c>
      <c r="U8" s="49" t="n">
        <v>1</v>
      </c>
      <c r="V8" s="49" t="n">
        <v>1</v>
      </c>
      <c r="W8" s="49" t="n">
        <v>1</v>
      </c>
      <c r="X8" s="49" t="n">
        <v>1</v>
      </c>
      <c r="Y8" s="49" t="n">
        <v>1</v>
      </c>
      <c r="Z8" s="49" t="n">
        <v>1</v>
      </c>
      <c r="AA8" s="49" t="n">
        <v>1</v>
      </c>
      <c r="AB8" s="49" t="n">
        <v>1</v>
      </c>
      <c r="AC8" s="49" t="n">
        <v>1</v>
      </c>
      <c r="AD8" s="49" t="n">
        <v>1</v>
      </c>
      <c r="AE8" s="49" t="n">
        <v>1</v>
      </c>
      <c r="AF8" s="49" t="n">
        <v>1</v>
      </c>
      <c r="AG8" s="49" t="n">
        <v>1</v>
      </c>
      <c r="AH8" s="49" t="n">
        <v>1</v>
      </c>
      <c r="AI8" s="49" t="n">
        <v>1</v>
      </c>
      <c r="AJ8" s="49" t="n">
        <v>1</v>
      </c>
      <c r="AK8" s="49" t="n">
        <v>1</v>
      </c>
      <c r="AL8" s="49" t="n">
        <v>1</v>
      </c>
      <c r="AM8" s="49" t="n">
        <v>1</v>
      </c>
      <c r="AN8" s="49" t="n">
        <v>1</v>
      </c>
      <c r="AO8" s="49" t="n">
        <v>1</v>
      </c>
      <c r="AP8" s="49" t="n">
        <v>1</v>
      </c>
      <c r="AQ8" s="49" t="n">
        <v>1</v>
      </c>
      <c r="AR8" s="49" t="n">
        <v>1</v>
      </c>
      <c r="AS8" s="49" t="n">
        <v>1</v>
      </c>
      <c r="AT8" s="49" t="n">
        <v>1</v>
      </c>
      <c r="AU8" s="49" t="n">
        <v>1</v>
      </c>
      <c r="AV8" s="49" t="n">
        <v>1</v>
      </c>
      <c r="AW8" s="49" t="n">
        <v>1</v>
      </c>
      <c r="AX8" s="49" t="n">
        <v>1</v>
      </c>
      <c r="AY8" s="49" t="n">
        <v>1</v>
      </c>
      <c r="AZ8" s="49" t="n">
        <v>1</v>
      </c>
      <c r="BA8" s="49" t="n">
        <v>1</v>
      </c>
      <c r="BB8" s="49" t="n">
        <v>1</v>
      </c>
      <c r="BC8" s="49" t="n">
        <v>1</v>
      </c>
      <c r="BD8" s="49" t="n">
        <v>1</v>
      </c>
      <c r="BE8" s="49" t="n">
        <v>1</v>
      </c>
      <c r="BF8" s="49" t="n">
        <v>1</v>
      </c>
      <c r="BG8" s="49" t="n">
        <v>1</v>
      </c>
      <c r="BH8" s="49" t="n">
        <v>1</v>
      </c>
      <c r="BI8" s="49" t="n">
        <v>1</v>
      </c>
      <c r="BJ8" s="49" t="n">
        <v>1</v>
      </c>
      <c r="BK8" s="49" t="n">
        <v>1</v>
      </c>
      <c r="BL8" s="49" t="n">
        <v>1</v>
      </c>
    </row>
    <row r="9">
      <c r="A9" s="51" t="inlineStr">
        <is>
          <t xml:space="preserve">    Объём (мес) = норм_год/12 × сезон × рамп</t>
        </is>
      </c>
      <c r="B9" s="52" t="inlineStr">
        <is>
          <t>ед.</t>
        </is>
      </c>
      <c r="C9" s="53">
        <f>SUM(BN9:BR9)</f>
        <v/>
      </c>
      <c r="D9" s="45" t="inlineStr"/>
      <c r="E9" s="54">
        <f>BN6/12*E7*E8*'Сценарии'!C$24</f>
        <v/>
      </c>
      <c r="F9" s="54">
        <f>BN6/12*F7*F8*'Сценарии'!C$24</f>
        <v/>
      </c>
      <c r="G9" s="54">
        <f>BN6/12*G7*G8*'Сценарии'!C$24</f>
        <v/>
      </c>
      <c r="H9" s="54">
        <f>BN6/12*H7*H8*'Сценарии'!C$24</f>
        <v/>
      </c>
      <c r="I9" s="54">
        <f>BN6/12*I7*I8*'Сценарии'!C$24</f>
        <v/>
      </c>
      <c r="J9" s="54">
        <f>BN6/12*J7*J8*'Сценарии'!C$24</f>
        <v/>
      </c>
      <c r="K9" s="54">
        <f>BN6/12*K7*K8*'Сценарии'!C$24</f>
        <v/>
      </c>
      <c r="L9" s="54">
        <f>BN6/12*L7*L8*'Сценарии'!C$24</f>
        <v/>
      </c>
      <c r="M9" s="54">
        <f>BN6/12*M7*M8*'Сценарии'!C$24</f>
        <v/>
      </c>
      <c r="N9" s="54">
        <f>BN6/12*N7*N8*'Сценарии'!C$24</f>
        <v/>
      </c>
      <c r="O9" s="54">
        <f>BN6/12*O7*O8*'Сценарии'!C$24</f>
        <v/>
      </c>
      <c r="P9" s="54">
        <f>BN6/12*P7*P8*'Сценарии'!C$24</f>
        <v/>
      </c>
      <c r="Q9" s="54">
        <f>BO6/12*Q7*Q8*'Сценарии'!D$24</f>
        <v/>
      </c>
      <c r="R9" s="54">
        <f>BO6/12*R7*R8*'Сценарии'!D$24</f>
        <v/>
      </c>
      <c r="S9" s="54">
        <f>BO6/12*S7*S8*'Сценарии'!D$24</f>
        <v/>
      </c>
      <c r="T9" s="54">
        <f>BO6/12*T7*T8*'Сценарии'!D$24</f>
        <v/>
      </c>
      <c r="U9" s="54">
        <f>BO6/12*U7*U8*'Сценарии'!D$24</f>
        <v/>
      </c>
      <c r="V9" s="54">
        <f>BO6/12*V7*V8*'Сценарии'!D$24</f>
        <v/>
      </c>
      <c r="W9" s="54">
        <f>BO6/12*W7*W8*'Сценарии'!D$24</f>
        <v/>
      </c>
      <c r="X9" s="54">
        <f>BO6/12*X7*X8*'Сценарии'!D$24</f>
        <v/>
      </c>
      <c r="Y9" s="54">
        <f>BO6/12*Y7*Y8*'Сценарии'!D$24</f>
        <v/>
      </c>
      <c r="Z9" s="54">
        <f>BO6/12*Z7*Z8*'Сценарии'!D$24</f>
        <v/>
      </c>
      <c r="AA9" s="54">
        <f>BO6/12*AA7*AA8*'Сценарии'!D$24</f>
        <v/>
      </c>
      <c r="AB9" s="54">
        <f>BO6/12*AB7*AB8*'Сценарии'!D$24</f>
        <v/>
      </c>
      <c r="AC9" s="54">
        <f>BP6/12*AC7*AC8*'Сценарии'!E$24</f>
        <v/>
      </c>
      <c r="AD9" s="54">
        <f>BP6/12*AD7*AD8*'Сценарии'!E$24</f>
        <v/>
      </c>
      <c r="AE9" s="54">
        <f>BP6/12*AE7*AE8*'Сценарии'!E$24</f>
        <v/>
      </c>
      <c r="AF9" s="54">
        <f>BP6/12*AF7*AF8*'Сценарии'!E$24</f>
        <v/>
      </c>
      <c r="AG9" s="54">
        <f>BP6/12*AG7*AG8*'Сценарии'!E$24</f>
        <v/>
      </c>
      <c r="AH9" s="54">
        <f>BP6/12*AH7*AH8*'Сценарии'!E$24</f>
        <v/>
      </c>
      <c r="AI9" s="54">
        <f>BP6/12*AI7*AI8*'Сценарии'!E$24</f>
        <v/>
      </c>
      <c r="AJ9" s="54">
        <f>BP6/12*AJ7*AJ8*'Сценарии'!E$24</f>
        <v/>
      </c>
      <c r="AK9" s="54">
        <f>BP6/12*AK7*AK8*'Сценарии'!E$24</f>
        <v/>
      </c>
      <c r="AL9" s="54">
        <f>BP6/12*AL7*AL8*'Сценарии'!E$24</f>
        <v/>
      </c>
      <c r="AM9" s="54">
        <f>BP6/12*AM7*AM8*'Сценарии'!E$24</f>
        <v/>
      </c>
      <c r="AN9" s="54">
        <f>BP6/12*AN7*AN8*'Сценарии'!E$24</f>
        <v/>
      </c>
      <c r="AO9" s="54">
        <f>BQ6/12*AO7*AO8*'Сценарии'!F$24</f>
        <v/>
      </c>
      <c r="AP9" s="54">
        <f>BQ6/12*AP7*AP8*'Сценарии'!F$24</f>
        <v/>
      </c>
      <c r="AQ9" s="54">
        <f>BQ6/12*AQ7*AQ8*'Сценарии'!F$24</f>
        <v/>
      </c>
      <c r="AR9" s="54">
        <f>BQ6/12*AR7*AR8*'Сценарии'!F$24</f>
        <v/>
      </c>
      <c r="AS9" s="54">
        <f>BQ6/12*AS7*AS8*'Сценарии'!F$24</f>
        <v/>
      </c>
      <c r="AT9" s="54">
        <f>BQ6/12*AT7*AT8*'Сценарии'!F$24</f>
        <v/>
      </c>
      <c r="AU9" s="54">
        <f>BQ6/12*AU7*AU8*'Сценарии'!F$24</f>
        <v/>
      </c>
      <c r="AV9" s="54">
        <f>BQ6/12*AV7*AV8*'Сценарии'!F$24</f>
        <v/>
      </c>
      <c r="AW9" s="54">
        <f>BQ6/12*AW7*AW8*'Сценарии'!F$24</f>
        <v/>
      </c>
      <c r="AX9" s="54">
        <f>BQ6/12*AX7*AX8*'Сценарии'!F$24</f>
        <v/>
      </c>
      <c r="AY9" s="54">
        <f>BQ6/12*AY7*AY8*'Сценарии'!F$24</f>
        <v/>
      </c>
      <c r="AZ9" s="54">
        <f>BQ6/12*AZ7*AZ8*'Сценарии'!F$24</f>
        <v/>
      </c>
      <c r="BA9" s="54">
        <f>BR6/12*BA7*BA8*'Сценарии'!G$24</f>
        <v/>
      </c>
      <c r="BB9" s="54">
        <f>BR6/12*BB7*BB8*'Сценарии'!G$24</f>
        <v/>
      </c>
      <c r="BC9" s="54">
        <f>BR6/12*BC7*BC8*'Сценарии'!G$24</f>
        <v/>
      </c>
      <c r="BD9" s="54">
        <f>BR6/12*BD7*BD8*'Сценарии'!G$24</f>
        <v/>
      </c>
      <c r="BE9" s="54">
        <f>BR6/12*BE7*BE8*'Сценарии'!G$24</f>
        <v/>
      </c>
      <c r="BF9" s="54">
        <f>BR6/12*BF7*BF8*'Сценарии'!G$24</f>
        <v/>
      </c>
      <c r="BG9" s="54">
        <f>BR6/12*BG7*BG8*'Сценарии'!G$24</f>
        <v/>
      </c>
      <c r="BH9" s="54">
        <f>BR6/12*BH7*BH8*'Сценарии'!G$24</f>
        <v/>
      </c>
      <c r="BI9" s="54">
        <f>BR6/12*BI7*BI8*'Сценарии'!G$24</f>
        <v/>
      </c>
      <c r="BJ9" s="54">
        <f>BR6/12*BJ7*BJ8*'Сценарии'!G$24</f>
        <v/>
      </c>
      <c r="BK9" s="54">
        <f>BR6/12*BK7*BK8*'Сценарии'!G$24</f>
        <v/>
      </c>
      <c r="BL9" s="54">
        <f>BR6/12*BL7*BL8*'Сценарии'!G$24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Инфляция цены, %/год (Г2-5)</t>
        </is>
      </c>
      <c r="B10" s="43" t="inlineStr">
        <is>
          <t>%</t>
        </is>
      </c>
      <c r="C10" s="48" t="inlineStr">
        <is>
          <t>—</t>
        </is>
      </c>
      <c r="D10" s="45" t="inlineStr"/>
      <c r="E10" s="46" t="inlineStr">
        <is>
          <t>·</t>
        </is>
      </c>
      <c r="F10" s="46" t="inlineStr">
        <is>
          <t>·</t>
        </is>
      </c>
      <c r="G10" s="46" t="inlineStr">
        <is>
          <t>·</t>
        </is>
      </c>
      <c r="H10" s="46" t="inlineStr">
        <is>
          <t>·</t>
        </is>
      </c>
      <c r="I10" s="46" t="inlineStr">
        <is>
          <t>·</t>
        </is>
      </c>
      <c r="J10" s="46" t="inlineStr">
        <is>
          <t>·</t>
        </is>
      </c>
      <c r="K10" s="46" t="inlineStr">
        <is>
          <t>·</t>
        </is>
      </c>
      <c r="L10" s="46" t="inlineStr">
        <is>
          <t>·</t>
        </is>
      </c>
      <c r="M10" s="46" t="inlineStr">
        <is>
          <t>·</t>
        </is>
      </c>
      <c r="N10" s="46" t="inlineStr">
        <is>
          <t>·</t>
        </is>
      </c>
      <c r="O10" s="46" t="inlineStr">
        <is>
          <t>·</t>
        </is>
      </c>
      <c r="P10" s="46" t="inlineStr">
        <is>
          <t>·</t>
        </is>
      </c>
      <c r="Q10" s="46" t="inlineStr">
        <is>
          <t>·</t>
        </is>
      </c>
      <c r="R10" s="46" t="inlineStr">
        <is>
          <t>·</t>
        </is>
      </c>
      <c r="S10" s="46" t="inlineStr">
        <is>
          <t>·</t>
        </is>
      </c>
      <c r="T10" s="46" t="inlineStr">
        <is>
          <t>·</t>
        </is>
      </c>
      <c r="U10" s="46" t="inlineStr">
        <is>
          <t>·</t>
        </is>
      </c>
      <c r="V10" s="46" t="inlineStr">
        <is>
          <t>·</t>
        </is>
      </c>
      <c r="W10" s="46" t="inlineStr">
        <is>
          <t>·</t>
        </is>
      </c>
      <c r="X10" s="46" t="inlineStr">
        <is>
          <t>·</t>
        </is>
      </c>
      <c r="Y10" s="46" t="inlineStr">
        <is>
          <t>·</t>
        </is>
      </c>
      <c r="Z10" s="46" t="inlineStr">
        <is>
          <t>·</t>
        </is>
      </c>
      <c r="AA10" s="46" t="inlineStr">
        <is>
          <t>·</t>
        </is>
      </c>
      <c r="AB10" s="46" t="inlineStr">
        <is>
          <t>·</t>
        </is>
      </c>
      <c r="AC10" s="46" t="inlineStr">
        <is>
          <t>·</t>
        </is>
      </c>
      <c r="AD10" s="46" t="inlineStr">
        <is>
          <t>·</t>
        </is>
      </c>
      <c r="AE10" s="46" t="inlineStr">
        <is>
          <t>·</t>
        </is>
      </c>
      <c r="AF10" s="46" t="inlineStr">
        <is>
          <t>·</t>
        </is>
      </c>
      <c r="AG10" s="46" t="inlineStr">
        <is>
          <t>·</t>
        </is>
      </c>
      <c r="AH10" s="46" t="inlineStr">
        <is>
          <t>·</t>
        </is>
      </c>
      <c r="AI10" s="46" t="inlineStr">
        <is>
          <t>·</t>
        </is>
      </c>
      <c r="AJ10" s="46" t="inlineStr">
        <is>
          <t>·</t>
        </is>
      </c>
      <c r="AK10" s="46" t="inlineStr">
        <is>
          <t>·</t>
        </is>
      </c>
      <c r="AL10" s="46" t="inlineStr">
        <is>
          <t>·</t>
        </is>
      </c>
      <c r="AM10" s="46" t="inlineStr">
        <is>
          <t>·</t>
        </is>
      </c>
      <c r="AN10" s="46" t="inlineStr">
        <is>
          <t>·</t>
        </is>
      </c>
      <c r="AO10" s="46" t="inlineStr">
        <is>
          <t>·</t>
        </is>
      </c>
      <c r="AP10" s="46" t="inlineStr">
        <is>
          <t>·</t>
        </is>
      </c>
      <c r="AQ10" s="46" t="inlineStr">
        <is>
          <t>·</t>
        </is>
      </c>
      <c r="AR10" s="46" t="inlineStr">
        <is>
          <t>·</t>
        </is>
      </c>
      <c r="AS10" s="46" t="inlineStr">
        <is>
          <t>·</t>
        </is>
      </c>
      <c r="AT10" s="46" t="inlineStr">
        <is>
          <t>·</t>
        </is>
      </c>
      <c r="AU10" s="46" t="inlineStr">
        <is>
          <t>·</t>
        </is>
      </c>
      <c r="AV10" s="46" t="inlineStr">
        <is>
          <t>·</t>
        </is>
      </c>
      <c r="AW10" s="46" t="inlineStr">
        <is>
          <t>·</t>
        </is>
      </c>
      <c r="AX10" s="46" t="inlineStr">
        <is>
          <t>·</t>
        </is>
      </c>
      <c r="AY10" s="46" t="inlineStr">
        <is>
          <t>·</t>
        </is>
      </c>
      <c r="AZ10" s="46" t="inlineStr">
        <is>
          <t>·</t>
        </is>
      </c>
      <c r="BA10" s="46" t="inlineStr">
        <is>
          <t>·</t>
        </is>
      </c>
      <c r="BB10" s="46" t="inlineStr">
        <is>
          <t>·</t>
        </is>
      </c>
      <c r="BC10" s="46" t="inlineStr">
        <is>
          <t>·</t>
        </is>
      </c>
      <c r="BD10" s="46" t="inlineStr">
        <is>
          <t>·</t>
        </is>
      </c>
      <c r="BE10" s="46" t="inlineStr">
        <is>
          <t>·</t>
        </is>
      </c>
      <c r="BF10" s="46" t="inlineStr">
        <is>
          <t>·</t>
        </is>
      </c>
      <c r="BG10" s="46" t="inlineStr">
        <is>
          <t>·</t>
        </is>
      </c>
      <c r="BH10" s="46" t="inlineStr">
        <is>
          <t>·</t>
        </is>
      </c>
      <c r="BI10" s="46" t="inlineStr">
        <is>
          <t>·</t>
        </is>
      </c>
      <c r="BJ10" s="46" t="inlineStr">
        <is>
          <t>·</t>
        </is>
      </c>
      <c r="BK10" s="46" t="inlineStr">
        <is>
          <t>·</t>
        </is>
      </c>
      <c r="BL10" s="46" t="inlineStr">
        <is>
          <t>·</t>
        </is>
      </c>
      <c r="BN10" s="46" t="inlineStr">
        <is>
          <t>—</t>
        </is>
      </c>
      <c r="BO10" s="55" t="n">
        <v>0.1</v>
      </c>
      <c r="BP10" s="55" t="n">
        <v>0.1</v>
      </c>
      <c r="BQ10" s="55" t="n">
        <v>0.1</v>
      </c>
      <c r="BR10" s="55" t="n">
        <v>0.1</v>
      </c>
    </row>
    <row r="11">
      <c r="A11" s="42" t="inlineStr">
        <is>
          <t xml:space="preserve">    Цена — год (Г1 ввод; Г2-5 = цепная индексация)</t>
        </is>
      </c>
      <c r="B11" s="43" t="inlineStr">
        <is>
          <t>руб/ед</t>
        </is>
      </c>
      <c r="C11" s="48" t="inlineStr">
        <is>
          <t>—</t>
        </is>
      </c>
      <c r="D11" s="45" t="inlineStr"/>
      <c r="E11" s="46" t="inlineStr">
        <is>
          <t>·</t>
        </is>
      </c>
      <c r="F11" s="46" t="inlineStr">
        <is>
          <t>·</t>
        </is>
      </c>
      <c r="G11" s="46" t="inlineStr">
        <is>
          <t>·</t>
        </is>
      </c>
      <c r="H11" s="46" t="inlineStr">
        <is>
          <t>·</t>
        </is>
      </c>
      <c r="I11" s="46" t="inlineStr">
        <is>
          <t>·</t>
        </is>
      </c>
      <c r="J11" s="46" t="inlineStr">
        <is>
          <t>·</t>
        </is>
      </c>
      <c r="K11" s="46" t="inlineStr">
        <is>
          <t>·</t>
        </is>
      </c>
      <c r="L11" s="46" t="inlineStr">
        <is>
          <t>·</t>
        </is>
      </c>
      <c r="M11" s="46" t="inlineStr">
        <is>
          <t>·</t>
        </is>
      </c>
      <c r="N11" s="46" t="inlineStr">
        <is>
          <t>·</t>
        </is>
      </c>
      <c r="O11" s="46" t="inlineStr">
        <is>
          <t>·</t>
        </is>
      </c>
      <c r="P11" s="46" t="inlineStr">
        <is>
          <t>·</t>
        </is>
      </c>
      <c r="Q11" s="46" t="inlineStr">
        <is>
          <t>·</t>
        </is>
      </c>
      <c r="R11" s="46" t="inlineStr">
        <is>
          <t>·</t>
        </is>
      </c>
      <c r="S11" s="46" t="inlineStr">
        <is>
          <t>·</t>
        </is>
      </c>
      <c r="T11" s="46" t="inlineStr">
        <is>
          <t>·</t>
        </is>
      </c>
      <c r="U11" s="46" t="inlineStr">
        <is>
          <t>·</t>
        </is>
      </c>
      <c r="V11" s="46" t="inlineStr">
        <is>
          <t>·</t>
        </is>
      </c>
      <c r="W11" s="46" t="inlineStr">
        <is>
          <t>·</t>
        </is>
      </c>
      <c r="X11" s="46" t="inlineStr">
        <is>
          <t>·</t>
        </is>
      </c>
      <c r="Y11" s="46" t="inlineStr">
        <is>
          <t>·</t>
        </is>
      </c>
      <c r="Z11" s="46" t="inlineStr">
        <is>
          <t>·</t>
        </is>
      </c>
      <c r="AA11" s="46" t="inlineStr">
        <is>
          <t>·</t>
        </is>
      </c>
      <c r="AB11" s="46" t="inlineStr">
        <is>
          <t>·</t>
        </is>
      </c>
      <c r="AC11" s="46" t="inlineStr">
        <is>
          <t>·</t>
        </is>
      </c>
      <c r="AD11" s="46" t="inlineStr">
        <is>
          <t>·</t>
        </is>
      </c>
      <c r="AE11" s="46" t="inlineStr">
        <is>
          <t>·</t>
        </is>
      </c>
      <c r="AF11" s="46" t="inlineStr">
        <is>
          <t>·</t>
        </is>
      </c>
      <c r="AG11" s="46" t="inlineStr">
        <is>
          <t>·</t>
        </is>
      </c>
      <c r="AH11" s="46" t="inlineStr">
        <is>
          <t>·</t>
        </is>
      </c>
      <c r="AI11" s="46" t="inlineStr">
        <is>
          <t>·</t>
        </is>
      </c>
      <c r="AJ11" s="46" t="inlineStr">
        <is>
          <t>·</t>
        </is>
      </c>
      <c r="AK11" s="46" t="inlineStr">
        <is>
          <t>·</t>
        </is>
      </c>
      <c r="AL11" s="46" t="inlineStr">
        <is>
          <t>·</t>
        </is>
      </c>
      <c r="AM11" s="46" t="inlineStr">
        <is>
          <t>·</t>
        </is>
      </c>
      <c r="AN11" s="46" t="inlineStr">
        <is>
          <t>·</t>
        </is>
      </c>
      <c r="AO11" s="46" t="inlineStr">
        <is>
          <t>·</t>
        </is>
      </c>
      <c r="AP11" s="46" t="inlineStr">
        <is>
          <t>·</t>
        </is>
      </c>
      <c r="AQ11" s="46" t="inlineStr">
        <is>
          <t>·</t>
        </is>
      </c>
      <c r="AR11" s="46" t="inlineStr">
        <is>
          <t>·</t>
        </is>
      </c>
      <c r="AS11" s="46" t="inlineStr">
        <is>
          <t>·</t>
        </is>
      </c>
      <c r="AT11" s="46" t="inlineStr">
        <is>
          <t>·</t>
        </is>
      </c>
      <c r="AU11" s="46" t="inlineStr">
        <is>
          <t>·</t>
        </is>
      </c>
      <c r="AV11" s="46" t="inlineStr">
        <is>
          <t>·</t>
        </is>
      </c>
      <c r="AW11" s="46" t="inlineStr">
        <is>
          <t>·</t>
        </is>
      </c>
      <c r="AX11" s="46" t="inlineStr">
        <is>
          <t>·</t>
        </is>
      </c>
      <c r="AY11" s="46" t="inlineStr">
        <is>
          <t>·</t>
        </is>
      </c>
      <c r="AZ11" s="46" t="inlineStr">
        <is>
          <t>·</t>
        </is>
      </c>
      <c r="BA11" s="46" t="inlineStr">
        <is>
          <t>·</t>
        </is>
      </c>
      <c r="BB11" s="46" t="inlineStr">
        <is>
          <t>·</t>
        </is>
      </c>
      <c r="BC11" s="46" t="inlineStr">
        <is>
          <t>·</t>
        </is>
      </c>
      <c r="BD11" s="46" t="inlineStr">
        <is>
          <t>·</t>
        </is>
      </c>
      <c r="BE11" s="46" t="inlineStr">
        <is>
          <t>·</t>
        </is>
      </c>
      <c r="BF11" s="46" t="inlineStr">
        <is>
          <t>·</t>
        </is>
      </c>
      <c r="BG11" s="46" t="inlineStr">
        <is>
          <t>·</t>
        </is>
      </c>
      <c r="BH11" s="46" t="inlineStr">
        <is>
          <t>·</t>
        </is>
      </c>
      <c r="BI11" s="46" t="inlineStr">
        <is>
          <t>·</t>
        </is>
      </c>
      <c r="BJ11" s="46" t="inlineStr">
        <is>
          <t>·</t>
        </is>
      </c>
      <c r="BK11" s="46" t="inlineStr">
        <is>
          <t>·</t>
        </is>
      </c>
      <c r="BL11" s="46" t="inlineStr">
        <is>
          <t>·</t>
        </is>
      </c>
      <c r="BN11" s="47" t="n">
        <v>2375</v>
      </c>
      <c r="BO11" s="54">
        <f>BN11*(1+BO10+'Сценарии'!D$25)</f>
        <v/>
      </c>
      <c r="BP11" s="54">
        <f>BO11*(1+BP10+'Сценарии'!E$25)</f>
        <v/>
      </c>
      <c r="BQ11" s="54">
        <f>BP11*(1+BQ10+'Сценарии'!F$25)</f>
        <v/>
      </c>
      <c r="BR11" s="54">
        <f>BQ11*(1+BR10+'Сценарии'!G$25)</f>
        <v/>
      </c>
    </row>
    <row r="12">
      <c r="A12" s="51" t="inlineStr">
        <is>
          <t xml:space="preserve">    Цена (мес)</t>
        </is>
      </c>
      <c r="B12" s="52" t="inlineStr">
        <is>
          <t>руб/ед</t>
        </is>
      </c>
      <c r="C12" s="48" t="inlineStr">
        <is>
          <t>—</t>
        </is>
      </c>
      <c r="D12" s="45" t="inlineStr"/>
      <c r="E12" s="54">
        <f>BN11</f>
        <v/>
      </c>
      <c r="F12" s="54">
        <f>BN11</f>
        <v/>
      </c>
      <c r="G12" s="54">
        <f>BN11</f>
        <v/>
      </c>
      <c r="H12" s="54">
        <f>BN11</f>
        <v/>
      </c>
      <c r="I12" s="54">
        <f>BN11</f>
        <v/>
      </c>
      <c r="J12" s="54">
        <f>BN11</f>
        <v/>
      </c>
      <c r="K12" s="54">
        <f>BN11</f>
        <v/>
      </c>
      <c r="L12" s="54">
        <f>BN11</f>
        <v/>
      </c>
      <c r="M12" s="54">
        <f>BN11</f>
        <v/>
      </c>
      <c r="N12" s="54">
        <f>BN11</f>
        <v/>
      </c>
      <c r="O12" s="54">
        <f>BN11</f>
        <v/>
      </c>
      <c r="P12" s="54">
        <f>BN11</f>
        <v/>
      </c>
      <c r="Q12" s="54">
        <f>BO11</f>
        <v/>
      </c>
      <c r="R12" s="54">
        <f>BO11</f>
        <v/>
      </c>
      <c r="S12" s="54">
        <f>BO11</f>
        <v/>
      </c>
      <c r="T12" s="54">
        <f>BO11</f>
        <v/>
      </c>
      <c r="U12" s="54">
        <f>BO11</f>
        <v/>
      </c>
      <c r="V12" s="54">
        <f>BO11</f>
        <v/>
      </c>
      <c r="W12" s="54">
        <f>BO11</f>
        <v/>
      </c>
      <c r="X12" s="54">
        <f>BO11</f>
        <v/>
      </c>
      <c r="Y12" s="54">
        <f>BO11</f>
        <v/>
      </c>
      <c r="Z12" s="54">
        <f>BO11</f>
        <v/>
      </c>
      <c r="AA12" s="54">
        <f>BO11</f>
        <v/>
      </c>
      <c r="AB12" s="54">
        <f>BO11</f>
        <v/>
      </c>
      <c r="AC12" s="54">
        <f>BP11</f>
        <v/>
      </c>
      <c r="AD12" s="54">
        <f>BP11</f>
        <v/>
      </c>
      <c r="AE12" s="54">
        <f>BP11</f>
        <v/>
      </c>
      <c r="AF12" s="54">
        <f>BP11</f>
        <v/>
      </c>
      <c r="AG12" s="54">
        <f>BP11</f>
        <v/>
      </c>
      <c r="AH12" s="54">
        <f>BP11</f>
        <v/>
      </c>
      <c r="AI12" s="54">
        <f>BP11</f>
        <v/>
      </c>
      <c r="AJ12" s="54">
        <f>BP11</f>
        <v/>
      </c>
      <c r="AK12" s="54">
        <f>BP11</f>
        <v/>
      </c>
      <c r="AL12" s="54">
        <f>BP11</f>
        <v/>
      </c>
      <c r="AM12" s="54">
        <f>BP11</f>
        <v/>
      </c>
      <c r="AN12" s="54">
        <f>BP11</f>
        <v/>
      </c>
      <c r="AO12" s="54">
        <f>BQ11</f>
        <v/>
      </c>
      <c r="AP12" s="54">
        <f>BQ11</f>
        <v/>
      </c>
      <c r="AQ12" s="54">
        <f>BQ11</f>
        <v/>
      </c>
      <c r="AR12" s="54">
        <f>BQ11</f>
        <v/>
      </c>
      <c r="AS12" s="54">
        <f>BQ11</f>
        <v/>
      </c>
      <c r="AT12" s="54">
        <f>BQ11</f>
        <v/>
      </c>
      <c r="AU12" s="54">
        <f>BQ11</f>
        <v/>
      </c>
      <c r="AV12" s="54">
        <f>BQ11</f>
        <v/>
      </c>
      <c r="AW12" s="54">
        <f>BQ11</f>
        <v/>
      </c>
      <c r="AX12" s="54">
        <f>BQ11</f>
        <v/>
      </c>
      <c r="AY12" s="54">
        <f>BQ11</f>
        <v/>
      </c>
      <c r="AZ12" s="54">
        <f>BQ11</f>
        <v/>
      </c>
      <c r="BA12" s="54">
        <f>BR11</f>
        <v/>
      </c>
      <c r="BB12" s="54">
        <f>BR11</f>
        <v/>
      </c>
      <c r="BC12" s="54">
        <f>BR11</f>
        <v/>
      </c>
      <c r="BD12" s="54">
        <f>BR11</f>
        <v/>
      </c>
      <c r="BE12" s="54">
        <f>BR11</f>
        <v/>
      </c>
      <c r="BF12" s="54">
        <f>BR11</f>
        <v/>
      </c>
      <c r="BG12" s="54">
        <f>BR11</f>
        <v/>
      </c>
      <c r="BH12" s="54">
        <f>BR11</f>
        <v/>
      </c>
      <c r="BI12" s="54">
        <f>BR11</f>
        <v/>
      </c>
      <c r="BJ12" s="54">
        <f>BR11</f>
        <v/>
      </c>
      <c r="BK12" s="54">
        <f>BR11</f>
        <v/>
      </c>
      <c r="BL12" s="54">
        <f>BR11</f>
        <v/>
      </c>
    </row>
    <row r="13"/>
    <row r="14" ht="22" customHeight="1">
      <c r="A14" s="41" t="inlineStr">
        <is>
          <t xml:space="preserve">  СЕГМЕНТ: ПРИВАТНЫЕ КАБИНЫ</t>
        </is>
      </c>
    </row>
    <row r="15">
      <c r="A15" s="42" t="inlineStr">
        <is>
          <t xml:space="preserve">    Объём — норматив года</t>
        </is>
      </c>
      <c r="B15" s="43" t="inlineStr">
        <is>
          <t>ед.</t>
        </is>
      </c>
      <c r="C15" s="44">
        <f>SUM(BN15:BR15)</f>
        <v/>
      </c>
      <c r="D15" s="45" t="inlineStr"/>
      <c r="E15" s="46" t="inlineStr">
        <is>
          <t>·</t>
        </is>
      </c>
      <c r="F15" s="46" t="inlineStr">
        <is>
          <t>·</t>
        </is>
      </c>
      <c r="G15" s="46" t="inlineStr">
        <is>
          <t>·</t>
        </is>
      </c>
      <c r="H15" s="46" t="inlineStr">
        <is>
          <t>·</t>
        </is>
      </c>
      <c r="I15" s="46" t="inlineStr">
        <is>
          <t>·</t>
        </is>
      </c>
      <c r="J15" s="46" t="inlineStr">
        <is>
          <t>·</t>
        </is>
      </c>
      <c r="K15" s="46" t="inlineStr">
        <is>
          <t>·</t>
        </is>
      </c>
      <c r="L15" s="46" t="inlineStr">
        <is>
          <t>·</t>
        </is>
      </c>
      <c r="M15" s="46" t="inlineStr">
        <is>
          <t>·</t>
        </is>
      </c>
      <c r="N15" s="46" t="inlineStr">
        <is>
          <t>·</t>
        </is>
      </c>
      <c r="O15" s="46" t="inlineStr">
        <is>
          <t>·</t>
        </is>
      </c>
      <c r="P15" s="46" t="inlineStr">
        <is>
          <t>·</t>
        </is>
      </c>
      <c r="Q15" s="46" t="inlineStr">
        <is>
          <t>·</t>
        </is>
      </c>
      <c r="R15" s="46" t="inlineStr">
        <is>
          <t>·</t>
        </is>
      </c>
      <c r="S15" s="46" t="inlineStr">
        <is>
          <t>·</t>
        </is>
      </c>
      <c r="T15" s="46" t="inlineStr">
        <is>
          <t>·</t>
        </is>
      </c>
      <c r="U15" s="46" t="inlineStr">
        <is>
          <t>·</t>
        </is>
      </c>
      <c r="V15" s="46" t="inlineStr">
        <is>
          <t>·</t>
        </is>
      </c>
      <c r="W15" s="46" t="inlineStr">
        <is>
          <t>·</t>
        </is>
      </c>
      <c r="X15" s="46" t="inlineStr">
        <is>
          <t>·</t>
        </is>
      </c>
      <c r="Y15" s="46" t="inlineStr">
        <is>
          <t>·</t>
        </is>
      </c>
      <c r="Z15" s="46" t="inlineStr">
        <is>
          <t>·</t>
        </is>
      </c>
      <c r="AA15" s="46" t="inlineStr">
        <is>
          <t>·</t>
        </is>
      </c>
      <c r="AB15" s="46" t="inlineStr">
        <is>
          <t>·</t>
        </is>
      </c>
      <c r="AC15" s="46" t="inlineStr">
        <is>
          <t>·</t>
        </is>
      </c>
      <c r="AD15" s="46" t="inlineStr">
        <is>
          <t>·</t>
        </is>
      </c>
      <c r="AE15" s="46" t="inlineStr">
        <is>
          <t>·</t>
        </is>
      </c>
      <c r="AF15" s="46" t="inlineStr">
        <is>
          <t>·</t>
        </is>
      </c>
      <c r="AG15" s="46" t="inlineStr">
        <is>
          <t>·</t>
        </is>
      </c>
      <c r="AH15" s="46" t="inlineStr">
        <is>
          <t>·</t>
        </is>
      </c>
      <c r="AI15" s="46" t="inlineStr">
        <is>
          <t>·</t>
        </is>
      </c>
      <c r="AJ15" s="46" t="inlineStr">
        <is>
          <t>·</t>
        </is>
      </c>
      <c r="AK15" s="46" t="inlineStr">
        <is>
          <t>·</t>
        </is>
      </c>
      <c r="AL15" s="46" t="inlineStr">
        <is>
          <t>·</t>
        </is>
      </c>
      <c r="AM15" s="46" t="inlineStr">
        <is>
          <t>·</t>
        </is>
      </c>
      <c r="AN15" s="46" t="inlineStr">
        <is>
          <t>·</t>
        </is>
      </c>
      <c r="AO15" s="46" t="inlineStr">
        <is>
          <t>·</t>
        </is>
      </c>
      <c r="AP15" s="46" t="inlineStr">
        <is>
          <t>·</t>
        </is>
      </c>
      <c r="AQ15" s="46" t="inlineStr">
        <is>
          <t>·</t>
        </is>
      </c>
      <c r="AR15" s="46" t="inlineStr">
        <is>
          <t>·</t>
        </is>
      </c>
      <c r="AS15" s="46" t="inlineStr">
        <is>
          <t>·</t>
        </is>
      </c>
      <c r="AT15" s="46" t="inlineStr">
        <is>
          <t>·</t>
        </is>
      </c>
      <c r="AU15" s="46" t="inlineStr">
        <is>
          <t>·</t>
        </is>
      </c>
      <c r="AV15" s="46" t="inlineStr">
        <is>
          <t>·</t>
        </is>
      </c>
      <c r="AW15" s="46" t="inlineStr">
        <is>
          <t>·</t>
        </is>
      </c>
      <c r="AX15" s="46" t="inlineStr">
        <is>
          <t>·</t>
        </is>
      </c>
      <c r="AY15" s="46" t="inlineStr">
        <is>
          <t>·</t>
        </is>
      </c>
      <c r="AZ15" s="46" t="inlineStr">
        <is>
          <t>·</t>
        </is>
      </c>
      <c r="BA15" s="46" t="inlineStr">
        <is>
          <t>·</t>
        </is>
      </c>
      <c r="BB15" s="46" t="inlineStr">
        <is>
          <t>·</t>
        </is>
      </c>
      <c r="BC15" s="46" t="inlineStr">
        <is>
          <t>·</t>
        </is>
      </c>
      <c r="BD15" s="46" t="inlineStr">
        <is>
          <t>·</t>
        </is>
      </c>
      <c r="BE15" s="46" t="inlineStr">
        <is>
          <t>·</t>
        </is>
      </c>
      <c r="BF15" s="46" t="inlineStr">
        <is>
          <t>·</t>
        </is>
      </c>
      <c r="BG15" s="46" t="inlineStr">
        <is>
          <t>·</t>
        </is>
      </c>
      <c r="BH15" s="46" t="inlineStr">
        <is>
          <t>·</t>
        </is>
      </c>
      <c r="BI15" s="46" t="inlineStr">
        <is>
          <t>·</t>
        </is>
      </c>
      <c r="BJ15" s="46" t="inlineStr">
        <is>
          <t>·</t>
        </is>
      </c>
      <c r="BK15" s="46" t="inlineStr">
        <is>
          <t>·</t>
        </is>
      </c>
      <c r="BL15" s="46" t="inlineStr">
        <is>
          <t>·</t>
        </is>
      </c>
      <c r="BN15" s="47" t="n">
        <v>1881.79</v>
      </c>
      <c r="BO15" s="47" t="n">
        <v>10036.22</v>
      </c>
      <c r="BP15" s="47" t="n">
        <v>12545.28</v>
      </c>
      <c r="BQ15" s="47" t="n">
        <v>12545.28</v>
      </c>
      <c r="BR15" s="47" t="n">
        <v>12545.28</v>
      </c>
    </row>
    <row r="16">
      <c r="A16" s="42" t="inlineStr">
        <is>
          <t xml:space="preserve">    Сезонность (мес, среднее=1.0)</t>
        </is>
      </c>
      <c r="B16" s="43" t="inlineStr">
        <is>
          <t>×</t>
        </is>
      </c>
      <c r="C16" s="48" t="inlineStr">
        <is>
          <t>—</t>
        </is>
      </c>
      <c r="D16" s="45" t="inlineStr"/>
      <c r="E16" s="49" t="n">
        <v>1.3</v>
      </c>
      <c r="F16" s="49" t="n">
        <v>1.3</v>
      </c>
      <c r="G16" s="49" t="n">
        <v>0.975</v>
      </c>
      <c r="H16" s="49" t="n">
        <v>0.975</v>
      </c>
      <c r="I16" s="49" t="n">
        <v>0.975</v>
      </c>
      <c r="J16" s="49" t="n">
        <v>0.75</v>
      </c>
      <c r="K16" s="49" t="n">
        <v>0.75</v>
      </c>
      <c r="L16" s="49" t="n">
        <v>0.75</v>
      </c>
      <c r="M16" s="49" t="n">
        <v>0.975</v>
      </c>
      <c r="N16" s="49" t="n">
        <v>0.975</v>
      </c>
      <c r="O16" s="49" t="n">
        <v>0.975</v>
      </c>
      <c r="P16" s="49" t="n">
        <v>1.3</v>
      </c>
      <c r="Q16" s="50">
        <f>E16</f>
        <v/>
      </c>
      <c r="R16" s="50">
        <f>F16</f>
        <v/>
      </c>
      <c r="S16" s="50">
        <f>G16</f>
        <v/>
      </c>
      <c r="T16" s="50">
        <f>H16</f>
        <v/>
      </c>
      <c r="U16" s="50">
        <f>I16</f>
        <v/>
      </c>
      <c r="V16" s="50">
        <f>J16</f>
        <v/>
      </c>
      <c r="W16" s="50">
        <f>K16</f>
        <v/>
      </c>
      <c r="X16" s="50">
        <f>L16</f>
        <v/>
      </c>
      <c r="Y16" s="50">
        <f>M16</f>
        <v/>
      </c>
      <c r="Z16" s="50">
        <f>N16</f>
        <v/>
      </c>
      <c r="AA16" s="50">
        <f>O16</f>
        <v/>
      </c>
      <c r="AB16" s="50">
        <f>P16</f>
        <v/>
      </c>
      <c r="AC16" s="50">
        <f>E16</f>
        <v/>
      </c>
      <c r="AD16" s="50">
        <f>F16</f>
        <v/>
      </c>
      <c r="AE16" s="50">
        <f>G16</f>
        <v/>
      </c>
      <c r="AF16" s="50">
        <f>H16</f>
        <v/>
      </c>
      <c r="AG16" s="50">
        <f>I16</f>
        <v/>
      </c>
      <c r="AH16" s="50">
        <f>J16</f>
        <v/>
      </c>
      <c r="AI16" s="50">
        <f>K16</f>
        <v/>
      </c>
      <c r="AJ16" s="50">
        <f>L16</f>
        <v/>
      </c>
      <c r="AK16" s="50">
        <f>M16</f>
        <v/>
      </c>
      <c r="AL16" s="50">
        <f>N16</f>
        <v/>
      </c>
      <c r="AM16" s="50">
        <f>O16</f>
        <v/>
      </c>
      <c r="AN16" s="50">
        <f>P16</f>
        <v/>
      </c>
      <c r="AO16" s="50">
        <f>E16</f>
        <v/>
      </c>
      <c r="AP16" s="50">
        <f>F16</f>
        <v/>
      </c>
      <c r="AQ16" s="50">
        <f>G16</f>
        <v/>
      </c>
      <c r="AR16" s="50">
        <f>H16</f>
        <v/>
      </c>
      <c r="AS16" s="50">
        <f>I16</f>
        <v/>
      </c>
      <c r="AT16" s="50">
        <f>J16</f>
        <v/>
      </c>
      <c r="AU16" s="50">
        <f>K16</f>
        <v/>
      </c>
      <c r="AV16" s="50">
        <f>L16</f>
        <v/>
      </c>
      <c r="AW16" s="50">
        <f>M16</f>
        <v/>
      </c>
      <c r="AX16" s="50">
        <f>N16</f>
        <v/>
      </c>
      <c r="AY16" s="50">
        <f>O16</f>
        <v/>
      </c>
      <c r="AZ16" s="50">
        <f>P16</f>
        <v/>
      </c>
      <c r="BA16" s="50">
        <f>E16</f>
        <v/>
      </c>
      <c r="BB16" s="50">
        <f>F16</f>
        <v/>
      </c>
      <c r="BC16" s="50">
        <f>G16</f>
        <v/>
      </c>
      <c r="BD16" s="50">
        <f>H16</f>
        <v/>
      </c>
      <c r="BE16" s="50">
        <f>I16</f>
        <v/>
      </c>
      <c r="BF16" s="50">
        <f>J16</f>
        <v/>
      </c>
      <c r="BG16" s="50">
        <f>K16</f>
        <v/>
      </c>
      <c r="BH16" s="50">
        <f>L16</f>
        <v/>
      </c>
      <c r="BI16" s="50">
        <f>M16</f>
        <v/>
      </c>
      <c r="BJ16" s="50">
        <f>N16</f>
        <v/>
      </c>
      <c r="BK16" s="50">
        <f>O16</f>
        <v/>
      </c>
      <c r="BL16" s="50">
        <f>P16</f>
        <v/>
      </c>
    </row>
    <row r="17">
      <c r="A17" s="42" t="inlineStr">
        <is>
          <t xml:space="preserve">    Рамп-ап (мес, 1.0 = полная загрузка)</t>
        </is>
      </c>
      <c r="B17" s="43" t="inlineStr">
        <is>
          <t>×</t>
        </is>
      </c>
      <c r="C17" s="48" t="inlineStr">
        <is>
          <t>—</t>
        </is>
      </c>
      <c r="D17" s="45" t="inlineStr"/>
      <c r="E17" s="49" t="n">
        <v>1</v>
      </c>
      <c r="F17" s="49" t="n">
        <v>1</v>
      </c>
      <c r="G17" s="49" t="n">
        <v>1</v>
      </c>
      <c r="H17" s="49" t="n">
        <v>1</v>
      </c>
      <c r="I17" s="49" t="n">
        <v>1</v>
      </c>
      <c r="J17" s="49" t="n">
        <v>1</v>
      </c>
      <c r="K17" s="49" t="n">
        <v>1</v>
      </c>
      <c r="L17" s="49" t="n">
        <v>1</v>
      </c>
      <c r="M17" s="49" t="n">
        <v>1</v>
      </c>
      <c r="N17" s="49" t="n">
        <v>1</v>
      </c>
      <c r="O17" s="49" t="n">
        <v>1</v>
      </c>
      <c r="P17" s="49" t="n">
        <v>1</v>
      </c>
      <c r="Q17" s="49" t="n">
        <v>1</v>
      </c>
      <c r="R17" s="49" t="n">
        <v>1</v>
      </c>
      <c r="S17" s="49" t="n">
        <v>1</v>
      </c>
      <c r="T17" s="49" t="n">
        <v>1</v>
      </c>
      <c r="U17" s="49" t="n">
        <v>1</v>
      </c>
      <c r="V17" s="49" t="n">
        <v>1</v>
      </c>
      <c r="W17" s="49" t="n">
        <v>1</v>
      </c>
      <c r="X17" s="49" t="n">
        <v>1</v>
      </c>
      <c r="Y17" s="49" t="n">
        <v>1</v>
      </c>
      <c r="Z17" s="49" t="n">
        <v>1</v>
      </c>
      <c r="AA17" s="49" t="n">
        <v>1</v>
      </c>
      <c r="AB17" s="49" t="n">
        <v>1</v>
      </c>
      <c r="AC17" s="49" t="n">
        <v>1</v>
      </c>
      <c r="AD17" s="49" t="n">
        <v>1</v>
      </c>
      <c r="AE17" s="49" t="n">
        <v>1</v>
      </c>
      <c r="AF17" s="49" t="n">
        <v>1</v>
      </c>
      <c r="AG17" s="49" t="n">
        <v>1</v>
      </c>
      <c r="AH17" s="49" t="n">
        <v>1</v>
      </c>
      <c r="AI17" s="49" t="n">
        <v>1</v>
      </c>
      <c r="AJ17" s="49" t="n">
        <v>1</v>
      </c>
      <c r="AK17" s="49" t="n">
        <v>1</v>
      </c>
      <c r="AL17" s="49" t="n">
        <v>1</v>
      </c>
      <c r="AM17" s="49" t="n">
        <v>1</v>
      </c>
      <c r="AN17" s="49" t="n">
        <v>1</v>
      </c>
      <c r="AO17" s="49" t="n">
        <v>1</v>
      </c>
      <c r="AP17" s="49" t="n">
        <v>1</v>
      </c>
      <c r="AQ17" s="49" t="n">
        <v>1</v>
      </c>
      <c r="AR17" s="49" t="n">
        <v>1</v>
      </c>
      <c r="AS17" s="49" t="n">
        <v>1</v>
      </c>
      <c r="AT17" s="49" t="n">
        <v>1</v>
      </c>
      <c r="AU17" s="49" t="n">
        <v>1</v>
      </c>
      <c r="AV17" s="49" t="n">
        <v>1</v>
      </c>
      <c r="AW17" s="49" t="n">
        <v>1</v>
      </c>
      <c r="AX17" s="49" t="n">
        <v>1</v>
      </c>
      <c r="AY17" s="49" t="n">
        <v>1</v>
      </c>
      <c r="AZ17" s="49" t="n">
        <v>1</v>
      </c>
      <c r="BA17" s="49" t="n">
        <v>1</v>
      </c>
      <c r="BB17" s="49" t="n">
        <v>1</v>
      </c>
      <c r="BC17" s="49" t="n">
        <v>1</v>
      </c>
      <c r="BD17" s="49" t="n">
        <v>1</v>
      </c>
      <c r="BE17" s="49" t="n">
        <v>1</v>
      </c>
      <c r="BF17" s="49" t="n">
        <v>1</v>
      </c>
      <c r="BG17" s="49" t="n">
        <v>1</v>
      </c>
      <c r="BH17" s="49" t="n">
        <v>1</v>
      </c>
      <c r="BI17" s="49" t="n">
        <v>1</v>
      </c>
      <c r="BJ17" s="49" t="n">
        <v>1</v>
      </c>
      <c r="BK17" s="49" t="n">
        <v>1</v>
      </c>
      <c r="BL17" s="49" t="n">
        <v>1</v>
      </c>
    </row>
    <row r="18">
      <c r="A18" s="51" t="inlineStr">
        <is>
          <t xml:space="preserve">    Объём (мес) = норм_год/12 × сезон × рамп</t>
        </is>
      </c>
      <c r="B18" s="52" t="inlineStr">
        <is>
          <t>ед.</t>
        </is>
      </c>
      <c r="C18" s="53">
        <f>SUM(BN18:BR18)</f>
        <v/>
      </c>
      <c r="D18" s="45" t="inlineStr"/>
      <c r="E18" s="54">
        <f>BN15/12*E16*E17*'Сценарии'!C$24</f>
        <v/>
      </c>
      <c r="F18" s="54">
        <f>BN15/12*F16*F17*'Сценарии'!C$24</f>
        <v/>
      </c>
      <c r="G18" s="54">
        <f>BN15/12*G16*G17*'Сценарии'!C$24</f>
        <v/>
      </c>
      <c r="H18" s="54">
        <f>BN15/12*H16*H17*'Сценарии'!C$24</f>
        <v/>
      </c>
      <c r="I18" s="54">
        <f>BN15/12*I16*I17*'Сценарии'!C$24</f>
        <v/>
      </c>
      <c r="J18" s="54">
        <f>BN15/12*J16*J17*'Сценарии'!C$24</f>
        <v/>
      </c>
      <c r="K18" s="54">
        <f>BN15/12*K16*K17*'Сценарии'!C$24</f>
        <v/>
      </c>
      <c r="L18" s="54">
        <f>BN15/12*L16*L17*'Сценарии'!C$24</f>
        <v/>
      </c>
      <c r="M18" s="54">
        <f>BN15/12*M16*M17*'Сценарии'!C$24</f>
        <v/>
      </c>
      <c r="N18" s="54">
        <f>BN15/12*N16*N17*'Сценарии'!C$24</f>
        <v/>
      </c>
      <c r="O18" s="54">
        <f>BN15/12*O16*O17*'Сценарии'!C$24</f>
        <v/>
      </c>
      <c r="P18" s="54">
        <f>BN15/12*P16*P17*'Сценарии'!C$24</f>
        <v/>
      </c>
      <c r="Q18" s="54">
        <f>BO15/12*Q16*Q17*'Сценарии'!D$24</f>
        <v/>
      </c>
      <c r="R18" s="54">
        <f>BO15/12*R16*R17*'Сценарии'!D$24</f>
        <v/>
      </c>
      <c r="S18" s="54">
        <f>BO15/12*S16*S17*'Сценарии'!D$24</f>
        <v/>
      </c>
      <c r="T18" s="54">
        <f>BO15/12*T16*T17*'Сценарии'!D$24</f>
        <v/>
      </c>
      <c r="U18" s="54">
        <f>BO15/12*U16*U17*'Сценарии'!D$24</f>
        <v/>
      </c>
      <c r="V18" s="54">
        <f>BO15/12*V16*V17*'Сценарии'!D$24</f>
        <v/>
      </c>
      <c r="W18" s="54">
        <f>BO15/12*W16*W17*'Сценарии'!D$24</f>
        <v/>
      </c>
      <c r="X18" s="54">
        <f>BO15/12*X16*X17*'Сценарии'!D$24</f>
        <v/>
      </c>
      <c r="Y18" s="54">
        <f>BO15/12*Y16*Y17*'Сценарии'!D$24</f>
        <v/>
      </c>
      <c r="Z18" s="54">
        <f>BO15/12*Z16*Z17*'Сценарии'!D$24</f>
        <v/>
      </c>
      <c r="AA18" s="54">
        <f>BO15/12*AA16*AA17*'Сценарии'!D$24</f>
        <v/>
      </c>
      <c r="AB18" s="54">
        <f>BO15/12*AB16*AB17*'Сценарии'!D$24</f>
        <v/>
      </c>
      <c r="AC18" s="54">
        <f>BP15/12*AC16*AC17*'Сценарии'!E$24</f>
        <v/>
      </c>
      <c r="AD18" s="54">
        <f>BP15/12*AD16*AD17*'Сценарии'!E$24</f>
        <v/>
      </c>
      <c r="AE18" s="54">
        <f>BP15/12*AE16*AE17*'Сценарии'!E$24</f>
        <v/>
      </c>
      <c r="AF18" s="54">
        <f>BP15/12*AF16*AF17*'Сценарии'!E$24</f>
        <v/>
      </c>
      <c r="AG18" s="54">
        <f>BP15/12*AG16*AG17*'Сценарии'!E$24</f>
        <v/>
      </c>
      <c r="AH18" s="54">
        <f>BP15/12*AH16*AH17*'Сценарии'!E$24</f>
        <v/>
      </c>
      <c r="AI18" s="54">
        <f>BP15/12*AI16*AI17*'Сценарии'!E$24</f>
        <v/>
      </c>
      <c r="AJ18" s="54">
        <f>BP15/12*AJ16*AJ17*'Сценарии'!E$24</f>
        <v/>
      </c>
      <c r="AK18" s="54">
        <f>BP15/12*AK16*AK17*'Сценарии'!E$24</f>
        <v/>
      </c>
      <c r="AL18" s="54">
        <f>BP15/12*AL16*AL17*'Сценарии'!E$24</f>
        <v/>
      </c>
      <c r="AM18" s="54">
        <f>BP15/12*AM16*AM17*'Сценарии'!E$24</f>
        <v/>
      </c>
      <c r="AN18" s="54">
        <f>BP15/12*AN16*AN17*'Сценарии'!E$24</f>
        <v/>
      </c>
      <c r="AO18" s="54">
        <f>BQ15/12*AO16*AO17*'Сценарии'!F$24</f>
        <v/>
      </c>
      <c r="AP18" s="54">
        <f>BQ15/12*AP16*AP17*'Сценарии'!F$24</f>
        <v/>
      </c>
      <c r="AQ18" s="54">
        <f>BQ15/12*AQ16*AQ17*'Сценарии'!F$24</f>
        <v/>
      </c>
      <c r="AR18" s="54">
        <f>BQ15/12*AR16*AR17*'Сценарии'!F$24</f>
        <v/>
      </c>
      <c r="AS18" s="54">
        <f>BQ15/12*AS16*AS17*'Сценарии'!F$24</f>
        <v/>
      </c>
      <c r="AT18" s="54">
        <f>BQ15/12*AT16*AT17*'Сценарии'!F$24</f>
        <v/>
      </c>
      <c r="AU18" s="54">
        <f>BQ15/12*AU16*AU17*'Сценарии'!F$24</f>
        <v/>
      </c>
      <c r="AV18" s="54">
        <f>BQ15/12*AV16*AV17*'Сценарии'!F$24</f>
        <v/>
      </c>
      <c r="AW18" s="54">
        <f>BQ15/12*AW16*AW17*'Сценарии'!F$24</f>
        <v/>
      </c>
      <c r="AX18" s="54">
        <f>BQ15/12*AX16*AX17*'Сценарии'!F$24</f>
        <v/>
      </c>
      <c r="AY18" s="54">
        <f>BQ15/12*AY16*AY17*'Сценарии'!F$24</f>
        <v/>
      </c>
      <c r="AZ18" s="54">
        <f>BQ15/12*AZ16*AZ17*'Сценарии'!F$24</f>
        <v/>
      </c>
      <c r="BA18" s="54">
        <f>BR15/12*BA16*BA17*'Сценарии'!G$24</f>
        <v/>
      </c>
      <c r="BB18" s="54">
        <f>BR15/12*BB16*BB17*'Сценарии'!G$24</f>
        <v/>
      </c>
      <c r="BC18" s="54">
        <f>BR15/12*BC16*BC17*'Сценарии'!G$24</f>
        <v/>
      </c>
      <c r="BD18" s="54">
        <f>BR15/12*BD16*BD17*'Сценарии'!G$24</f>
        <v/>
      </c>
      <c r="BE18" s="54">
        <f>BR15/12*BE16*BE17*'Сценарии'!G$24</f>
        <v/>
      </c>
      <c r="BF18" s="54">
        <f>BR15/12*BF16*BF17*'Сценарии'!G$24</f>
        <v/>
      </c>
      <c r="BG18" s="54">
        <f>BR15/12*BG16*BG17*'Сценарии'!G$24</f>
        <v/>
      </c>
      <c r="BH18" s="54">
        <f>BR15/12*BH16*BH17*'Сценарии'!G$24</f>
        <v/>
      </c>
      <c r="BI18" s="54">
        <f>BR15/12*BI16*BI17*'Сценарии'!G$24</f>
        <v/>
      </c>
      <c r="BJ18" s="54">
        <f>BR15/12*BJ16*BJ17*'Сценарии'!G$24</f>
        <v/>
      </c>
      <c r="BK18" s="54">
        <f>BR15/12*BK16*BK17*'Сценарии'!G$24</f>
        <v/>
      </c>
      <c r="BL18" s="54">
        <f>BR15/12*BL16*BL17*'Сценарии'!G$24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>
      <c r="A19" s="42" t="inlineStr">
        <is>
          <t xml:space="preserve">    Инфляция цены, %/год (Г2-5)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46" t="inlineStr">
        <is>
          <t>·</t>
        </is>
      </c>
      <c r="F19" s="46" t="inlineStr">
        <is>
          <t>·</t>
        </is>
      </c>
      <c r="G19" s="46" t="inlineStr">
        <is>
          <t>·</t>
        </is>
      </c>
      <c r="H19" s="46" t="inlineStr">
        <is>
          <t>·</t>
        </is>
      </c>
      <c r="I19" s="46" t="inlineStr">
        <is>
          <t>·</t>
        </is>
      </c>
      <c r="J19" s="46" t="inlineStr">
        <is>
          <t>·</t>
        </is>
      </c>
      <c r="K19" s="46" t="inlineStr">
        <is>
          <t>·</t>
        </is>
      </c>
      <c r="L19" s="46" t="inlineStr">
        <is>
          <t>·</t>
        </is>
      </c>
      <c r="M19" s="46" t="inlineStr">
        <is>
          <t>·</t>
        </is>
      </c>
      <c r="N19" s="46" t="inlineStr">
        <is>
          <t>·</t>
        </is>
      </c>
      <c r="O19" s="46" t="inlineStr">
        <is>
          <t>·</t>
        </is>
      </c>
      <c r="P19" s="46" t="inlineStr">
        <is>
          <t>·</t>
        </is>
      </c>
      <c r="Q19" s="46" t="inlineStr">
        <is>
          <t>·</t>
        </is>
      </c>
      <c r="R19" s="46" t="inlineStr">
        <is>
          <t>·</t>
        </is>
      </c>
      <c r="S19" s="46" t="inlineStr">
        <is>
          <t>·</t>
        </is>
      </c>
      <c r="T19" s="46" t="inlineStr">
        <is>
          <t>·</t>
        </is>
      </c>
      <c r="U19" s="46" t="inlineStr">
        <is>
          <t>·</t>
        </is>
      </c>
      <c r="V19" s="46" t="inlineStr">
        <is>
          <t>·</t>
        </is>
      </c>
      <c r="W19" s="46" t="inlineStr">
        <is>
          <t>·</t>
        </is>
      </c>
      <c r="X19" s="46" t="inlineStr">
        <is>
          <t>·</t>
        </is>
      </c>
      <c r="Y19" s="46" t="inlineStr">
        <is>
          <t>·</t>
        </is>
      </c>
      <c r="Z19" s="46" t="inlineStr">
        <is>
          <t>·</t>
        </is>
      </c>
      <c r="AA19" s="46" t="inlineStr">
        <is>
          <t>·</t>
        </is>
      </c>
      <c r="AB19" s="46" t="inlineStr">
        <is>
          <t>·</t>
        </is>
      </c>
      <c r="AC19" s="46" t="inlineStr">
        <is>
          <t>·</t>
        </is>
      </c>
      <c r="AD19" s="46" t="inlineStr">
        <is>
          <t>·</t>
        </is>
      </c>
      <c r="AE19" s="46" t="inlineStr">
        <is>
          <t>·</t>
        </is>
      </c>
      <c r="AF19" s="46" t="inlineStr">
        <is>
          <t>·</t>
        </is>
      </c>
      <c r="AG19" s="46" t="inlineStr">
        <is>
          <t>·</t>
        </is>
      </c>
      <c r="AH19" s="46" t="inlineStr">
        <is>
          <t>·</t>
        </is>
      </c>
      <c r="AI19" s="46" t="inlineStr">
        <is>
          <t>·</t>
        </is>
      </c>
      <c r="AJ19" s="46" t="inlineStr">
        <is>
          <t>·</t>
        </is>
      </c>
      <c r="AK19" s="46" t="inlineStr">
        <is>
          <t>·</t>
        </is>
      </c>
      <c r="AL19" s="46" t="inlineStr">
        <is>
          <t>·</t>
        </is>
      </c>
      <c r="AM19" s="46" t="inlineStr">
        <is>
          <t>·</t>
        </is>
      </c>
      <c r="AN19" s="46" t="inlineStr">
        <is>
          <t>·</t>
        </is>
      </c>
      <c r="AO19" s="46" t="inlineStr">
        <is>
          <t>·</t>
        </is>
      </c>
      <c r="AP19" s="46" t="inlineStr">
        <is>
          <t>·</t>
        </is>
      </c>
      <c r="AQ19" s="46" t="inlineStr">
        <is>
          <t>·</t>
        </is>
      </c>
      <c r="AR19" s="46" t="inlineStr">
        <is>
          <t>·</t>
        </is>
      </c>
      <c r="AS19" s="46" t="inlineStr">
        <is>
          <t>·</t>
        </is>
      </c>
      <c r="AT19" s="46" t="inlineStr">
        <is>
          <t>·</t>
        </is>
      </c>
      <c r="AU19" s="46" t="inlineStr">
        <is>
          <t>·</t>
        </is>
      </c>
      <c r="AV19" s="46" t="inlineStr">
        <is>
          <t>·</t>
        </is>
      </c>
      <c r="AW19" s="46" t="inlineStr">
        <is>
          <t>·</t>
        </is>
      </c>
      <c r="AX19" s="46" t="inlineStr">
        <is>
          <t>·</t>
        </is>
      </c>
      <c r="AY19" s="46" t="inlineStr">
        <is>
          <t>·</t>
        </is>
      </c>
      <c r="AZ19" s="46" t="inlineStr">
        <is>
          <t>·</t>
        </is>
      </c>
      <c r="BA19" s="46" t="inlineStr">
        <is>
          <t>·</t>
        </is>
      </c>
      <c r="BB19" s="46" t="inlineStr">
        <is>
          <t>·</t>
        </is>
      </c>
      <c r="BC19" s="46" t="inlineStr">
        <is>
          <t>·</t>
        </is>
      </c>
      <c r="BD19" s="46" t="inlineStr">
        <is>
          <t>·</t>
        </is>
      </c>
      <c r="BE19" s="46" t="inlineStr">
        <is>
          <t>·</t>
        </is>
      </c>
      <c r="BF19" s="46" t="inlineStr">
        <is>
          <t>·</t>
        </is>
      </c>
      <c r="BG19" s="46" t="inlineStr">
        <is>
          <t>·</t>
        </is>
      </c>
      <c r="BH19" s="46" t="inlineStr">
        <is>
          <t>·</t>
        </is>
      </c>
      <c r="BI19" s="46" t="inlineStr">
        <is>
          <t>·</t>
        </is>
      </c>
      <c r="BJ19" s="46" t="inlineStr">
        <is>
          <t>·</t>
        </is>
      </c>
      <c r="BK19" s="46" t="inlineStr">
        <is>
          <t>·</t>
        </is>
      </c>
      <c r="BL19" s="46" t="inlineStr">
        <is>
          <t>·</t>
        </is>
      </c>
      <c r="BN19" s="46" t="inlineStr">
        <is>
          <t>—</t>
        </is>
      </c>
      <c r="BO19" s="55" t="n">
        <v>0.1</v>
      </c>
      <c r="BP19" s="55" t="n">
        <v>0.1</v>
      </c>
      <c r="BQ19" s="55" t="n">
        <v>0.1</v>
      </c>
      <c r="BR19" s="55" t="n">
        <v>0.1</v>
      </c>
    </row>
    <row r="20">
      <c r="A20" s="42" t="inlineStr">
        <is>
          <t xml:space="preserve">    Цена — год (Г1 ввод; Г2-5 = цепная индексация)</t>
        </is>
      </c>
      <c r="B20" s="43" t="inlineStr">
        <is>
          <t>руб/ед</t>
        </is>
      </c>
      <c r="C20" s="48" t="inlineStr">
        <is>
          <t>—</t>
        </is>
      </c>
      <c r="D20" s="45" t="inlineStr"/>
      <c r="E20" s="46" t="inlineStr">
        <is>
          <t>·</t>
        </is>
      </c>
      <c r="F20" s="46" t="inlineStr">
        <is>
          <t>·</t>
        </is>
      </c>
      <c r="G20" s="46" t="inlineStr">
        <is>
          <t>·</t>
        </is>
      </c>
      <c r="H20" s="46" t="inlineStr">
        <is>
          <t>·</t>
        </is>
      </c>
      <c r="I20" s="46" t="inlineStr">
        <is>
          <t>·</t>
        </is>
      </c>
      <c r="J20" s="46" t="inlineStr">
        <is>
          <t>·</t>
        </is>
      </c>
      <c r="K20" s="46" t="inlineStr">
        <is>
          <t>·</t>
        </is>
      </c>
      <c r="L20" s="46" t="inlineStr">
        <is>
          <t>·</t>
        </is>
      </c>
      <c r="M20" s="46" t="inlineStr">
        <is>
          <t>·</t>
        </is>
      </c>
      <c r="N20" s="46" t="inlineStr">
        <is>
          <t>·</t>
        </is>
      </c>
      <c r="O20" s="46" t="inlineStr">
        <is>
          <t>·</t>
        </is>
      </c>
      <c r="P20" s="46" t="inlineStr">
        <is>
          <t>·</t>
        </is>
      </c>
      <c r="Q20" s="46" t="inlineStr">
        <is>
          <t>·</t>
        </is>
      </c>
      <c r="R20" s="46" t="inlineStr">
        <is>
          <t>·</t>
        </is>
      </c>
      <c r="S20" s="46" t="inlineStr">
        <is>
          <t>·</t>
        </is>
      </c>
      <c r="T20" s="46" t="inlineStr">
        <is>
          <t>·</t>
        </is>
      </c>
      <c r="U20" s="46" t="inlineStr">
        <is>
          <t>·</t>
        </is>
      </c>
      <c r="V20" s="46" t="inlineStr">
        <is>
          <t>·</t>
        </is>
      </c>
      <c r="W20" s="46" t="inlineStr">
        <is>
          <t>·</t>
        </is>
      </c>
      <c r="X20" s="46" t="inlineStr">
        <is>
          <t>·</t>
        </is>
      </c>
      <c r="Y20" s="46" t="inlineStr">
        <is>
          <t>·</t>
        </is>
      </c>
      <c r="Z20" s="46" t="inlineStr">
        <is>
          <t>·</t>
        </is>
      </c>
      <c r="AA20" s="46" t="inlineStr">
        <is>
          <t>·</t>
        </is>
      </c>
      <c r="AB20" s="46" t="inlineStr">
        <is>
          <t>·</t>
        </is>
      </c>
      <c r="AC20" s="46" t="inlineStr">
        <is>
          <t>·</t>
        </is>
      </c>
      <c r="AD20" s="46" t="inlineStr">
        <is>
          <t>·</t>
        </is>
      </c>
      <c r="AE20" s="46" t="inlineStr">
        <is>
          <t>·</t>
        </is>
      </c>
      <c r="AF20" s="46" t="inlineStr">
        <is>
          <t>·</t>
        </is>
      </c>
      <c r="AG20" s="46" t="inlineStr">
        <is>
          <t>·</t>
        </is>
      </c>
      <c r="AH20" s="46" t="inlineStr">
        <is>
          <t>·</t>
        </is>
      </c>
      <c r="AI20" s="46" t="inlineStr">
        <is>
          <t>·</t>
        </is>
      </c>
      <c r="AJ20" s="46" t="inlineStr">
        <is>
          <t>·</t>
        </is>
      </c>
      <c r="AK20" s="46" t="inlineStr">
        <is>
          <t>·</t>
        </is>
      </c>
      <c r="AL20" s="46" t="inlineStr">
        <is>
          <t>·</t>
        </is>
      </c>
      <c r="AM20" s="46" t="inlineStr">
        <is>
          <t>·</t>
        </is>
      </c>
      <c r="AN20" s="46" t="inlineStr">
        <is>
          <t>·</t>
        </is>
      </c>
      <c r="AO20" s="46" t="inlineStr">
        <is>
          <t>·</t>
        </is>
      </c>
      <c r="AP20" s="46" t="inlineStr">
        <is>
          <t>·</t>
        </is>
      </c>
      <c r="AQ20" s="46" t="inlineStr">
        <is>
          <t>·</t>
        </is>
      </c>
      <c r="AR20" s="46" t="inlineStr">
        <is>
          <t>·</t>
        </is>
      </c>
      <c r="AS20" s="46" t="inlineStr">
        <is>
          <t>·</t>
        </is>
      </c>
      <c r="AT20" s="46" t="inlineStr">
        <is>
          <t>·</t>
        </is>
      </c>
      <c r="AU20" s="46" t="inlineStr">
        <is>
          <t>·</t>
        </is>
      </c>
      <c r="AV20" s="46" t="inlineStr">
        <is>
          <t>·</t>
        </is>
      </c>
      <c r="AW20" s="46" t="inlineStr">
        <is>
          <t>·</t>
        </is>
      </c>
      <c r="AX20" s="46" t="inlineStr">
        <is>
          <t>·</t>
        </is>
      </c>
      <c r="AY20" s="46" t="inlineStr">
        <is>
          <t>·</t>
        </is>
      </c>
      <c r="AZ20" s="46" t="inlineStr">
        <is>
          <t>·</t>
        </is>
      </c>
      <c r="BA20" s="46" t="inlineStr">
        <is>
          <t>·</t>
        </is>
      </c>
      <c r="BB20" s="46" t="inlineStr">
        <is>
          <t>·</t>
        </is>
      </c>
      <c r="BC20" s="46" t="inlineStr">
        <is>
          <t>·</t>
        </is>
      </c>
      <c r="BD20" s="46" t="inlineStr">
        <is>
          <t>·</t>
        </is>
      </c>
      <c r="BE20" s="46" t="inlineStr">
        <is>
          <t>·</t>
        </is>
      </c>
      <c r="BF20" s="46" t="inlineStr">
        <is>
          <t>·</t>
        </is>
      </c>
      <c r="BG20" s="46" t="inlineStr">
        <is>
          <t>·</t>
        </is>
      </c>
      <c r="BH20" s="46" t="inlineStr">
        <is>
          <t>·</t>
        </is>
      </c>
      <c r="BI20" s="46" t="inlineStr">
        <is>
          <t>·</t>
        </is>
      </c>
      <c r="BJ20" s="46" t="inlineStr">
        <is>
          <t>·</t>
        </is>
      </c>
      <c r="BK20" s="46" t="inlineStr">
        <is>
          <t>·</t>
        </is>
      </c>
      <c r="BL20" s="46" t="inlineStr">
        <is>
          <t>·</t>
        </is>
      </c>
      <c r="BN20" s="47" t="n">
        <v>8640</v>
      </c>
      <c r="BO20" s="54">
        <f>BN20*(1+BO19+'Сценарии'!D$25)</f>
        <v/>
      </c>
      <c r="BP20" s="54">
        <f>BO20*(1+BP19+'Сценарии'!E$25)</f>
        <v/>
      </c>
      <c r="BQ20" s="54">
        <f>BP20*(1+BQ19+'Сценарии'!F$25)</f>
        <v/>
      </c>
      <c r="BR20" s="54">
        <f>BQ20*(1+BR19+'Сценарии'!G$25)</f>
        <v/>
      </c>
    </row>
    <row r="21">
      <c r="A21" s="51" t="inlineStr">
        <is>
          <t xml:space="preserve">    Цена (мес)</t>
        </is>
      </c>
      <c r="B21" s="52" t="inlineStr">
        <is>
          <t>руб/ед</t>
        </is>
      </c>
      <c r="C21" s="48" t="inlineStr">
        <is>
          <t>—</t>
        </is>
      </c>
      <c r="D21" s="45" t="inlineStr"/>
      <c r="E21" s="54">
        <f>BN20</f>
        <v/>
      </c>
      <c r="F21" s="54">
        <f>BN20</f>
        <v/>
      </c>
      <c r="G21" s="54">
        <f>BN20</f>
        <v/>
      </c>
      <c r="H21" s="54">
        <f>BN20</f>
        <v/>
      </c>
      <c r="I21" s="54">
        <f>BN20</f>
        <v/>
      </c>
      <c r="J21" s="54">
        <f>BN20</f>
        <v/>
      </c>
      <c r="K21" s="54">
        <f>BN20</f>
        <v/>
      </c>
      <c r="L21" s="54">
        <f>BN20</f>
        <v/>
      </c>
      <c r="M21" s="54">
        <f>BN20</f>
        <v/>
      </c>
      <c r="N21" s="54">
        <f>BN20</f>
        <v/>
      </c>
      <c r="O21" s="54">
        <f>BN20</f>
        <v/>
      </c>
      <c r="P21" s="54">
        <f>BN20</f>
        <v/>
      </c>
      <c r="Q21" s="54">
        <f>BO20</f>
        <v/>
      </c>
      <c r="R21" s="54">
        <f>BO20</f>
        <v/>
      </c>
      <c r="S21" s="54">
        <f>BO20</f>
        <v/>
      </c>
      <c r="T21" s="54">
        <f>BO20</f>
        <v/>
      </c>
      <c r="U21" s="54">
        <f>BO20</f>
        <v/>
      </c>
      <c r="V21" s="54">
        <f>BO20</f>
        <v/>
      </c>
      <c r="W21" s="54">
        <f>BO20</f>
        <v/>
      </c>
      <c r="X21" s="54">
        <f>BO20</f>
        <v/>
      </c>
      <c r="Y21" s="54">
        <f>BO20</f>
        <v/>
      </c>
      <c r="Z21" s="54">
        <f>BO20</f>
        <v/>
      </c>
      <c r="AA21" s="54">
        <f>BO20</f>
        <v/>
      </c>
      <c r="AB21" s="54">
        <f>BO20</f>
        <v/>
      </c>
      <c r="AC21" s="54">
        <f>BP20</f>
        <v/>
      </c>
      <c r="AD21" s="54">
        <f>BP20</f>
        <v/>
      </c>
      <c r="AE21" s="54">
        <f>BP20</f>
        <v/>
      </c>
      <c r="AF21" s="54">
        <f>BP20</f>
        <v/>
      </c>
      <c r="AG21" s="54">
        <f>BP20</f>
        <v/>
      </c>
      <c r="AH21" s="54">
        <f>BP20</f>
        <v/>
      </c>
      <c r="AI21" s="54">
        <f>BP20</f>
        <v/>
      </c>
      <c r="AJ21" s="54">
        <f>BP20</f>
        <v/>
      </c>
      <c r="AK21" s="54">
        <f>BP20</f>
        <v/>
      </c>
      <c r="AL21" s="54">
        <f>BP20</f>
        <v/>
      </c>
      <c r="AM21" s="54">
        <f>BP20</f>
        <v/>
      </c>
      <c r="AN21" s="54">
        <f>BP20</f>
        <v/>
      </c>
      <c r="AO21" s="54">
        <f>BQ20</f>
        <v/>
      </c>
      <c r="AP21" s="54">
        <f>BQ20</f>
        <v/>
      </c>
      <c r="AQ21" s="54">
        <f>BQ20</f>
        <v/>
      </c>
      <c r="AR21" s="54">
        <f>BQ20</f>
        <v/>
      </c>
      <c r="AS21" s="54">
        <f>BQ20</f>
        <v/>
      </c>
      <c r="AT21" s="54">
        <f>BQ20</f>
        <v/>
      </c>
      <c r="AU21" s="54">
        <f>BQ20</f>
        <v/>
      </c>
      <c r="AV21" s="54">
        <f>BQ20</f>
        <v/>
      </c>
      <c r="AW21" s="54">
        <f>BQ20</f>
        <v/>
      </c>
      <c r="AX21" s="54">
        <f>BQ20</f>
        <v/>
      </c>
      <c r="AY21" s="54">
        <f>BQ20</f>
        <v/>
      </c>
      <c r="AZ21" s="54">
        <f>BQ20</f>
        <v/>
      </c>
      <c r="BA21" s="54">
        <f>BR20</f>
        <v/>
      </c>
      <c r="BB21" s="54">
        <f>BR20</f>
        <v/>
      </c>
      <c r="BC21" s="54">
        <f>BR20</f>
        <v/>
      </c>
      <c r="BD21" s="54">
        <f>BR20</f>
        <v/>
      </c>
      <c r="BE21" s="54">
        <f>BR20</f>
        <v/>
      </c>
      <c r="BF21" s="54">
        <f>BR20</f>
        <v/>
      </c>
      <c r="BG21" s="54">
        <f>BR20</f>
        <v/>
      </c>
      <c r="BH21" s="54">
        <f>BR20</f>
        <v/>
      </c>
      <c r="BI21" s="54">
        <f>BR20</f>
        <v/>
      </c>
      <c r="BJ21" s="54">
        <f>BR20</f>
        <v/>
      </c>
      <c r="BK21" s="54">
        <f>BR20</f>
        <v/>
      </c>
      <c r="BL21" s="54">
        <f>BR20</f>
        <v/>
      </c>
    </row>
    <row r="22"/>
    <row r="23" ht="22" customHeight="1">
      <c r="A23" s="41" t="inlineStr">
        <is>
          <t xml:space="preserve">  СЕГМЕНТ: SPA И ПАРЕНИЕ</t>
        </is>
      </c>
    </row>
    <row r="24">
      <c r="A24" s="42" t="inlineStr">
        <is>
          <t xml:space="preserve">    Объём — норматив года</t>
        </is>
      </c>
      <c r="B24" s="43" t="inlineStr">
        <is>
          <t>ед.</t>
        </is>
      </c>
      <c r="C24" s="44">
        <f>SUM(BN24:BR24)</f>
        <v/>
      </c>
      <c r="D24" s="45" t="inlineStr"/>
      <c r="E24" s="46" t="inlineStr">
        <is>
          <t>·</t>
        </is>
      </c>
      <c r="F24" s="46" t="inlineStr">
        <is>
          <t>·</t>
        </is>
      </c>
      <c r="G24" s="46" t="inlineStr">
        <is>
          <t>·</t>
        </is>
      </c>
      <c r="H24" s="46" t="inlineStr">
        <is>
          <t>·</t>
        </is>
      </c>
      <c r="I24" s="46" t="inlineStr">
        <is>
          <t>·</t>
        </is>
      </c>
      <c r="J24" s="46" t="inlineStr">
        <is>
          <t>·</t>
        </is>
      </c>
      <c r="K24" s="46" t="inlineStr">
        <is>
          <t>·</t>
        </is>
      </c>
      <c r="L24" s="46" t="inlineStr">
        <is>
          <t>·</t>
        </is>
      </c>
      <c r="M24" s="46" t="inlineStr">
        <is>
          <t>·</t>
        </is>
      </c>
      <c r="N24" s="46" t="inlineStr">
        <is>
          <t>·</t>
        </is>
      </c>
      <c r="O24" s="46" t="inlineStr">
        <is>
          <t>·</t>
        </is>
      </c>
      <c r="P24" s="46" t="inlineStr">
        <is>
          <t>·</t>
        </is>
      </c>
      <c r="Q24" s="46" t="inlineStr">
        <is>
          <t>·</t>
        </is>
      </c>
      <c r="R24" s="46" t="inlineStr">
        <is>
          <t>·</t>
        </is>
      </c>
      <c r="S24" s="46" t="inlineStr">
        <is>
          <t>·</t>
        </is>
      </c>
      <c r="T24" s="46" t="inlineStr">
        <is>
          <t>·</t>
        </is>
      </c>
      <c r="U24" s="46" t="inlineStr">
        <is>
          <t>·</t>
        </is>
      </c>
      <c r="V24" s="46" t="inlineStr">
        <is>
          <t>·</t>
        </is>
      </c>
      <c r="W24" s="46" t="inlineStr">
        <is>
          <t>·</t>
        </is>
      </c>
      <c r="X24" s="46" t="inlineStr">
        <is>
          <t>·</t>
        </is>
      </c>
      <c r="Y24" s="46" t="inlineStr">
        <is>
          <t>·</t>
        </is>
      </c>
      <c r="Z24" s="46" t="inlineStr">
        <is>
          <t>·</t>
        </is>
      </c>
      <c r="AA24" s="46" t="inlineStr">
        <is>
          <t>·</t>
        </is>
      </c>
      <c r="AB24" s="46" t="inlineStr">
        <is>
          <t>·</t>
        </is>
      </c>
      <c r="AC24" s="46" t="inlineStr">
        <is>
          <t>·</t>
        </is>
      </c>
      <c r="AD24" s="46" t="inlineStr">
        <is>
          <t>·</t>
        </is>
      </c>
      <c r="AE24" s="46" t="inlineStr">
        <is>
          <t>·</t>
        </is>
      </c>
      <c r="AF24" s="46" t="inlineStr">
        <is>
          <t>·</t>
        </is>
      </c>
      <c r="AG24" s="46" t="inlineStr">
        <is>
          <t>·</t>
        </is>
      </c>
      <c r="AH24" s="46" t="inlineStr">
        <is>
          <t>·</t>
        </is>
      </c>
      <c r="AI24" s="46" t="inlineStr">
        <is>
          <t>·</t>
        </is>
      </c>
      <c r="AJ24" s="46" t="inlineStr">
        <is>
          <t>·</t>
        </is>
      </c>
      <c r="AK24" s="46" t="inlineStr">
        <is>
          <t>·</t>
        </is>
      </c>
      <c r="AL24" s="46" t="inlineStr">
        <is>
          <t>·</t>
        </is>
      </c>
      <c r="AM24" s="46" t="inlineStr">
        <is>
          <t>·</t>
        </is>
      </c>
      <c r="AN24" s="46" t="inlineStr">
        <is>
          <t>·</t>
        </is>
      </c>
      <c r="AO24" s="46" t="inlineStr">
        <is>
          <t>·</t>
        </is>
      </c>
      <c r="AP24" s="46" t="inlineStr">
        <is>
          <t>·</t>
        </is>
      </c>
      <c r="AQ24" s="46" t="inlineStr">
        <is>
          <t>·</t>
        </is>
      </c>
      <c r="AR24" s="46" t="inlineStr">
        <is>
          <t>·</t>
        </is>
      </c>
      <c r="AS24" s="46" t="inlineStr">
        <is>
          <t>·</t>
        </is>
      </c>
      <c r="AT24" s="46" t="inlineStr">
        <is>
          <t>·</t>
        </is>
      </c>
      <c r="AU24" s="46" t="inlineStr">
        <is>
          <t>·</t>
        </is>
      </c>
      <c r="AV24" s="46" t="inlineStr">
        <is>
          <t>·</t>
        </is>
      </c>
      <c r="AW24" s="46" t="inlineStr">
        <is>
          <t>·</t>
        </is>
      </c>
      <c r="AX24" s="46" t="inlineStr">
        <is>
          <t>·</t>
        </is>
      </c>
      <c r="AY24" s="46" t="inlineStr">
        <is>
          <t>·</t>
        </is>
      </c>
      <c r="AZ24" s="46" t="inlineStr">
        <is>
          <t>·</t>
        </is>
      </c>
      <c r="BA24" s="46" t="inlineStr">
        <is>
          <t>·</t>
        </is>
      </c>
      <c r="BB24" s="46" t="inlineStr">
        <is>
          <t>·</t>
        </is>
      </c>
      <c r="BC24" s="46" t="inlineStr">
        <is>
          <t>·</t>
        </is>
      </c>
      <c r="BD24" s="46" t="inlineStr">
        <is>
          <t>·</t>
        </is>
      </c>
      <c r="BE24" s="46" t="inlineStr">
        <is>
          <t>·</t>
        </is>
      </c>
      <c r="BF24" s="46" t="inlineStr">
        <is>
          <t>·</t>
        </is>
      </c>
      <c r="BG24" s="46" t="inlineStr">
        <is>
          <t>·</t>
        </is>
      </c>
      <c r="BH24" s="46" t="inlineStr">
        <is>
          <t>·</t>
        </is>
      </c>
      <c r="BI24" s="46" t="inlineStr">
        <is>
          <t>·</t>
        </is>
      </c>
      <c r="BJ24" s="46" t="inlineStr">
        <is>
          <t>·</t>
        </is>
      </c>
      <c r="BK24" s="46" t="inlineStr">
        <is>
          <t>·</t>
        </is>
      </c>
      <c r="BL24" s="46" t="inlineStr">
        <is>
          <t>·</t>
        </is>
      </c>
      <c r="BN24" s="47" t="n">
        <v>3630</v>
      </c>
      <c r="BO24" s="47" t="n">
        <v>19360</v>
      </c>
      <c r="BP24" s="47" t="n">
        <v>24200</v>
      </c>
      <c r="BQ24" s="47" t="n">
        <v>24200</v>
      </c>
      <c r="BR24" s="47" t="n">
        <v>24200</v>
      </c>
    </row>
    <row r="25">
      <c r="A25" s="42" t="inlineStr">
        <is>
          <t xml:space="preserve">    Сезонность (мес, среднее=1.0)</t>
        </is>
      </c>
      <c r="B25" s="43" t="inlineStr">
        <is>
          <t>×</t>
        </is>
      </c>
      <c r="C25" s="48" t="inlineStr">
        <is>
          <t>—</t>
        </is>
      </c>
      <c r="D25" s="45" t="inlineStr"/>
      <c r="E25" s="49" t="n">
        <v>1.3</v>
      </c>
      <c r="F25" s="49" t="n">
        <v>1.3</v>
      </c>
      <c r="G25" s="49" t="n">
        <v>0.975</v>
      </c>
      <c r="H25" s="49" t="n">
        <v>0.975</v>
      </c>
      <c r="I25" s="49" t="n">
        <v>0.975</v>
      </c>
      <c r="J25" s="49" t="n">
        <v>0.75</v>
      </c>
      <c r="K25" s="49" t="n">
        <v>0.75</v>
      </c>
      <c r="L25" s="49" t="n">
        <v>0.75</v>
      </c>
      <c r="M25" s="49" t="n">
        <v>0.975</v>
      </c>
      <c r="N25" s="49" t="n">
        <v>0.975</v>
      </c>
      <c r="O25" s="49" t="n">
        <v>0.975</v>
      </c>
      <c r="P25" s="49" t="n">
        <v>1.3</v>
      </c>
      <c r="Q25" s="50">
        <f>E25</f>
        <v/>
      </c>
      <c r="R25" s="50">
        <f>F25</f>
        <v/>
      </c>
      <c r="S25" s="50">
        <f>G25</f>
        <v/>
      </c>
      <c r="T25" s="50">
        <f>H25</f>
        <v/>
      </c>
      <c r="U25" s="50">
        <f>I25</f>
        <v/>
      </c>
      <c r="V25" s="50">
        <f>J25</f>
        <v/>
      </c>
      <c r="W25" s="50">
        <f>K25</f>
        <v/>
      </c>
      <c r="X25" s="50">
        <f>L25</f>
        <v/>
      </c>
      <c r="Y25" s="50">
        <f>M25</f>
        <v/>
      </c>
      <c r="Z25" s="50">
        <f>N25</f>
        <v/>
      </c>
      <c r="AA25" s="50">
        <f>O25</f>
        <v/>
      </c>
      <c r="AB25" s="50">
        <f>P25</f>
        <v/>
      </c>
      <c r="AC25" s="50">
        <f>E25</f>
        <v/>
      </c>
      <c r="AD25" s="50">
        <f>F25</f>
        <v/>
      </c>
      <c r="AE25" s="50">
        <f>G25</f>
        <v/>
      </c>
      <c r="AF25" s="50">
        <f>H25</f>
        <v/>
      </c>
      <c r="AG25" s="50">
        <f>I25</f>
        <v/>
      </c>
      <c r="AH25" s="50">
        <f>J25</f>
        <v/>
      </c>
      <c r="AI25" s="50">
        <f>K25</f>
        <v/>
      </c>
      <c r="AJ25" s="50">
        <f>L25</f>
        <v/>
      </c>
      <c r="AK25" s="50">
        <f>M25</f>
        <v/>
      </c>
      <c r="AL25" s="50">
        <f>N25</f>
        <v/>
      </c>
      <c r="AM25" s="50">
        <f>O25</f>
        <v/>
      </c>
      <c r="AN25" s="50">
        <f>P25</f>
        <v/>
      </c>
      <c r="AO25" s="50">
        <f>E25</f>
        <v/>
      </c>
      <c r="AP25" s="50">
        <f>F25</f>
        <v/>
      </c>
      <c r="AQ25" s="50">
        <f>G25</f>
        <v/>
      </c>
      <c r="AR25" s="50">
        <f>H25</f>
        <v/>
      </c>
      <c r="AS25" s="50">
        <f>I25</f>
        <v/>
      </c>
      <c r="AT25" s="50">
        <f>J25</f>
        <v/>
      </c>
      <c r="AU25" s="50">
        <f>K25</f>
        <v/>
      </c>
      <c r="AV25" s="50">
        <f>L25</f>
        <v/>
      </c>
      <c r="AW25" s="50">
        <f>M25</f>
        <v/>
      </c>
      <c r="AX25" s="50">
        <f>N25</f>
        <v/>
      </c>
      <c r="AY25" s="50">
        <f>O25</f>
        <v/>
      </c>
      <c r="AZ25" s="50">
        <f>P25</f>
        <v/>
      </c>
      <c r="BA25" s="50">
        <f>E25</f>
        <v/>
      </c>
      <c r="BB25" s="50">
        <f>F25</f>
        <v/>
      </c>
      <c r="BC25" s="50">
        <f>G25</f>
        <v/>
      </c>
      <c r="BD25" s="50">
        <f>H25</f>
        <v/>
      </c>
      <c r="BE25" s="50">
        <f>I25</f>
        <v/>
      </c>
      <c r="BF25" s="50">
        <f>J25</f>
        <v/>
      </c>
      <c r="BG25" s="50">
        <f>K25</f>
        <v/>
      </c>
      <c r="BH25" s="50">
        <f>L25</f>
        <v/>
      </c>
      <c r="BI25" s="50">
        <f>M25</f>
        <v/>
      </c>
      <c r="BJ25" s="50">
        <f>N25</f>
        <v/>
      </c>
      <c r="BK25" s="50">
        <f>O25</f>
        <v/>
      </c>
      <c r="BL25" s="50">
        <f>P25</f>
        <v/>
      </c>
    </row>
    <row r="26">
      <c r="A26" s="42" t="inlineStr">
        <is>
          <t xml:space="preserve">    Рамп-ап (мес, 1.0 = полная загрузка)</t>
        </is>
      </c>
      <c r="B26" s="43" t="inlineStr">
        <is>
          <t>×</t>
        </is>
      </c>
      <c r="C26" s="48" t="inlineStr">
        <is>
          <t>—</t>
        </is>
      </c>
      <c r="D26" s="45" t="inlineStr"/>
      <c r="E26" s="49" t="n">
        <v>1</v>
      </c>
      <c r="F26" s="49" t="n">
        <v>1</v>
      </c>
      <c r="G26" s="49" t="n">
        <v>1</v>
      </c>
      <c r="H26" s="49" t="n">
        <v>1</v>
      </c>
      <c r="I26" s="49" t="n">
        <v>1</v>
      </c>
      <c r="J26" s="49" t="n">
        <v>1</v>
      </c>
      <c r="K26" s="49" t="n">
        <v>1</v>
      </c>
      <c r="L26" s="49" t="n">
        <v>1</v>
      </c>
      <c r="M26" s="49" t="n">
        <v>1</v>
      </c>
      <c r="N26" s="49" t="n">
        <v>1</v>
      </c>
      <c r="O26" s="49" t="n">
        <v>1</v>
      </c>
      <c r="P26" s="49" t="n">
        <v>1</v>
      </c>
      <c r="Q26" s="49" t="n">
        <v>1</v>
      </c>
      <c r="R26" s="49" t="n">
        <v>1</v>
      </c>
      <c r="S26" s="49" t="n">
        <v>1</v>
      </c>
      <c r="T26" s="49" t="n">
        <v>1</v>
      </c>
      <c r="U26" s="49" t="n">
        <v>1</v>
      </c>
      <c r="V26" s="49" t="n">
        <v>1</v>
      </c>
      <c r="W26" s="49" t="n">
        <v>1</v>
      </c>
      <c r="X26" s="49" t="n">
        <v>1</v>
      </c>
      <c r="Y26" s="49" t="n">
        <v>1</v>
      </c>
      <c r="Z26" s="49" t="n">
        <v>1</v>
      </c>
      <c r="AA26" s="49" t="n">
        <v>1</v>
      </c>
      <c r="AB26" s="49" t="n">
        <v>1</v>
      </c>
      <c r="AC26" s="49" t="n">
        <v>1</v>
      </c>
      <c r="AD26" s="49" t="n">
        <v>1</v>
      </c>
      <c r="AE26" s="49" t="n">
        <v>1</v>
      </c>
      <c r="AF26" s="49" t="n">
        <v>1</v>
      </c>
      <c r="AG26" s="49" t="n">
        <v>1</v>
      </c>
      <c r="AH26" s="49" t="n">
        <v>1</v>
      </c>
      <c r="AI26" s="49" t="n">
        <v>1</v>
      </c>
      <c r="AJ26" s="49" t="n">
        <v>1</v>
      </c>
      <c r="AK26" s="49" t="n">
        <v>1</v>
      </c>
      <c r="AL26" s="49" t="n">
        <v>1</v>
      </c>
      <c r="AM26" s="49" t="n">
        <v>1</v>
      </c>
      <c r="AN26" s="49" t="n">
        <v>1</v>
      </c>
      <c r="AO26" s="49" t="n">
        <v>1</v>
      </c>
      <c r="AP26" s="49" t="n">
        <v>1</v>
      </c>
      <c r="AQ26" s="49" t="n">
        <v>1</v>
      </c>
      <c r="AR26" s="49" t="n">
        <v>1</v>
      </c>
      <c r="AS26" s="49" t="n">
        <v>1</v>
      </c>
      <c r="AT26" s="49" t="n">
        <v>1</v>
      </c>
      <c r="AU26" s="49" t="n">
        <v>1</v>
      </c>
      <c r="AV26" s="49" t="n">
        <v>1</v>
      </c>
      <c r="AW26" s="49" t="n">
        <v>1</v>
      </c>
      <c r="AX26" s="49" t="n">
        <v>1</v>
      </c>
      <c r="AY26" s="49" t="n">
        <v>1</v>
      </c>
      <c r="AZ26" s="49" t="n">
        <v>1</v>
      </c>
      <c r="BA26" s="49" t="n">
        <v>1</v>
      </c>
      <c r="BB26" s="49" t="n">
        <v>1</v>
      </c>
      <c r="BC26" s="49" t="n">
        <v>1</v>
      </c>
      <c r="BD26" s="49" t="n">
        <v>1</v>
      </c>
      <c r="BE26" s="49" t="n">
        <v>1</v>
      </c>
      <c r="BF26" s="49" t="n">
        <v>1</v>
      </c>
      <c r="BG26" s="49" t="n">
        <v>1</v>
      </c>
      <c r="BH26" s="49" t="n">
        <v>1</v>
      </c>
      <c r="BI26" s="49" t="n">
        <v>1</v>
      </c>
      <c r="BJ26" s="49" t="n">
        <v>1</v>
      </c>
      <c r="BK26" s="49" t="n">
        <v>1</v>
      </c>
      <c r="BL26" s="49" t="n">
        <v>1</v>
      </c>
    </row>
    <row r="27">
      <c r="A27" s="51" t="inlineStr">
        <is>
          <t xml:space="preserve">    Объём (мес) = норм_год/12 × сезон × рамп</t>
        </is>
      </c>
      <c r="B27" s="52" t="inlineStr">
        <is>
          <t>ед.</t>
        </is>
      </c>
      <c r="C27" s="53">
        <f>SUM(BN27:BR27)</f>
        <v/>
      </c>
      <c r="D27" s="45" t="inlineStr"/>
      <c r="E27" s="54">
        <f>BN24/12*E25*E26*'Сценарии'!C$24</f>
        <v/>
      </c>
      <c r="F27" s="54">
        <f>BN24/12*F25*F26*'Сценарии'!C$24</f>
        <v/>
      </c>
      <c r="G27" s="54">
        <f>BN24/12*G25*G26*'Сценарии'!C$24</f>
        <v/>
      </c>
      <c r="H27" s="54">
        <f>BN24/12*H25*H26*'Сценарии'!C$24</f>
        <v/>
      </c>
      <c r="I27" s="54">
        <f>BN24/12*I25*I26*'Сценарии'!C$24</f>
        <v/>
      </c>
      <c r="J27" s="54">
        <f>BN24/12*J25*J26*'Сценарии'!C$24</f>
        <v/>
      </c>
      <c r="K27" s="54">
        <f>BN24/12*K25*K26*'Сценарии'!C$24</f>
        <v/>
      </c>
      <c r="L27" s="54">
        <f>BN24/12*L25*L26*'Сценарии'!C$24</f>
        <v/>
      </c>
      <c r="M27" s="54">
        <f>BN24/12*M25*M26*'Сценарии'!C$24</f>
        <v/>
      </c>
      <c r="N27" s="54">
        <f>BN24/12*N25*N26*'Сценарии'!C$24</f>
        <v/>
      </c>
      <c r="O27" s="54">
        <f>BN24/12*O25*O26*'Сценарии'!C$24</f>
        <v/>
      </c>
      <c r="P27" s="54">
        <f>BN24/12*P25*P26*'Сценарии'!C$24</f>
        <v/>
      </c>
      <c r="Q27" s="54">
        <f>BO24/12*Q25*Q26*'Сценарии'!D$24</f>
        <v/>
      </c>
      <c r="R27" s="54">
        <f>BO24/12*R25*R26*'Сценарии'!D$24</f>
        <v/>
      </c>
      <c r="S27" s="54">
        <f>BO24/12*S25*S26*'Сценарии'!D$24</f>
        <v/>
      </c>
      <c r="T27" s="54">
        <f>BO24/12*T25*T26*'Сценарии'!D$24</f>
        <v/>
      </c>
      <c r="U27" s="54">
        <f>BO24/12*U25*U26*'Сценарии'!D$24</f>
        <v/>
      </c>
      <c r="V27" s="54">
        <f>BO24/12*V25*V26*'Сценарии'!D$24</f>
        <v/>
      </c>
      <c r="W27" s="54">
        <f>BO24/12*W25*W26*'Сценарии'!D$24</f>
        <v/>
      </c>
      <c r="X27" s="54">
        <f>BO24/12*X25*X26*'Сценарии'!D$24</f>
        <v/>
      </c>
      <c r="Y27" s="54">
        <f>BO24/12*Y25*Y26*'Сценарии'!D$24</f>
        <v/>
      </c>
      <c r="Z27" s="54">
        <f>BO24/12*Z25*Z26*'Сценарии'!D$24</f>
        <v/>
      </c>
      <c r="AA27" s="54">
        <f>BO24/12*AA25*AA26*'Сценарии'!D$24</f>
        <v/>
      </c>
      <c r="AB27" s="54">
        <f>BO24/12*AB25*AB26*'Сценарии'!D$24</f>
        <v/>
      </c>
      <c r="AC27" s="54">
        <f>BP24/12*AC25*AC26*'Сценарии'!E$24</f>
        <v/>
      </c>
      <c r="AD27" s="54">
        <f>BP24/12*AD25*AD26*'Сценарии'!E$24</f>
        <v/>
      </c>
      <c r="AE27" s="54">
        <f>BP24/12*AE25*AE26*'Сценарии'!E$24</f>
        <v/>
      </c>
      <c r="AF27" s="54">
        <f>BP24/12*AF25*AF26*'Сценарии'!E$24</f>
        <v/>
      </c>
      <c r="AG27" s="54">
        <f>BP24/12*AG25*AG26*'Сценарии'!E$24</f>
        <v/>
      </c>
      <c r="AH27" s="54">
        <f>BP24/12*AH25*AH26*'Сценарии'!E$24</f>
        <v/>
      </c>
      <c r="AI27" s="54">
        <f>BP24/12*AI25*AI26*'Сценарии'!E$24</f>
        <v/>
      </c>
      <c r="AJ27" s="54">
        <f>BP24/12*AJ25*AJ26*'Сценарии'!E$24</f>
        <v/>
      </c>
      <c r="AK27" s="54">
        <f>BP24/12*AK25*AK26*'Сценарии'!E$24</f>
        <v/>
      </c>
      <c r="AL27" s="54">
        <f>BP24/12*AL25*AL26*'Сценарии'!E$24</f>
        <v/>
      </c>
      <c r="AM27" s="54">
        <f>BP24/12*AM25*AM26*'Сценарии'!E$24</f>
        <v/>
      </c>
      <c r="AN27" s="54">
        <f>BP24/12*AN25*AN26*'Сценарии'!E$24</f>
        <v/>
      </c>
      <c r="AO27" s="54">
        <f>BQ24/12*AO25*AO26*'Сценарии'!F$24</f>
        <v/>
      </c>
      <c r="AP27" s="54">
        <f>BQ24/12*AP25*AP26*'Сценарии'!F$24</f>
        <v/>
      </c>
      <c r="AQ27" s="54">
        <f>BQ24/12*AQ25*AQ26*'Сценарии'!F$24</f>
        <v/>
      </c>
      <c r="AR27" s="54">
        <f>BQ24/12*AR25*AR26*'Сценарии'!F$24</f>
        <v/>
      </c>
      <c r="AS27" s="54">
        <f>BQ24/12*AS25*AS26*'Сценарии'!F$24</f>
        <v/>
      </c>
      <c r="AT27" s="54">
        <f>BQ24/12*AT25*AT26*'Сценарии'!F$24</f>
        <v/>
      </c>
      <c r="AU27" s="54">
        <f>BQ24/12*AU25*AU26*'Сценарии'!F$24</f>
        <v/>
      </c>
      <c r="AV27" s="54">
        <f>BQ24/12*AV25*AV26*'Сценарии'!F$24</f>
        <v/>
      </c>
      <c r="AW27" s="54">
        <f>BQ24/12*AW25*AW26*'Сценарии'!F$24</f>
        <v/>
      </c>
      <c r="AX27" s="54">
        <f>BQ24/12*AX25*AX26*'Сценарии'!F$24</f>
        <v/>
      </c>
      <c r="AY27" s="54">
        <f>BQ24/12*AY25*AY26*'Сценарии'!F$24</f>
        <v/>
      </c>
      <c r="AZ27" s="54">
        <f>BQ24/12*AZ25*AZ26*'Сценарии'!F$24</f>
        <v/>
      </c>
      <c r="BA27" s="54">
        <f>BR24/12*BA25*BA26*'Сценарии'!G$24</f>
        <v/>
      </c>
      <c r="BB27" s="54">
        <f>BR24/12*BB25*BB26*'Сценарии'!G$24</f>
        <v/>
      </c>
      <c r="BC27" s="54">
        <f>BR24/12*BC25*BC26*'Сценарии'!G$24</f>
        <v/>
      </c>
      <c r="BD27" s="54">
        <f>BR24/12*BD25*BD26*'Сценарии'!G$24</f>
        <v/>
      </c>
      <c r="BE27" s="54">
        <f>BR24/12*BE25*BE26*'Сценарии'!G$24</f>
        <v/>
      </c>
      <c r="BF27" s="54">
        <f>BR24/12*BF25*BF26*'Сценарии'!G$24</f>
        <v/>
      </c>
      <c r="BG27" s="54">
        <f>BR24/12*BG25*BG26*'Сценарии'!G$24</f>
        <v/>
      </c>
      <c r="BH27" s="54">
        <f>BR24/12*BH25*BH26*'Сценарии'!G$24</f>
        <v/>
      </c>
      <c r="BI27" s="54">
        <f>BR24/12*BI25*BI26*'Сценарии'!G$24</f>
        <v/>
      </c>
      <c r="BJ27" s="54">
        <f>BR24/12*BJ25*BJ26*'Сценарии'!G$24</f>
        <v/>
      </c>
      <c r="BK27" s="54">
        <f>BR24/12*BK25*BK26*'Сценарии'!G$24</f>
        <v/>
      </c>
      <c r="BL27" s="54">
        <f>BR24/12*BL25*BL26*'Сценарии'!G$24</f>
        <v/>
      </c>
      <c r="BN27" s="53">
        <f>SUM(E27:P27)</f>
        <v/>
      </c>
      <c r="BO27" s="53">
        <f>SUM(Q27:AB27)</f>
        <v/>
      </c>
      <c r="BP27" s="53">
        <f>SUM(AC27:AN27)</f>
        <v/>
      </c>
      <c r="BQ27" s="53">
        <f>SUM(AO27:AZ27)</f>
        <v/>
      </c>
      <c r="BR27" s="53">
        <f>SUM(BA27:BL27)</f>
        <v/>
      </c>
    </row>
    <row r="28">
      <c r="A28" s="42" t="inlineStr">
        <is>
          <t xml:space="preserve">    Инфляция цены, %/год (Г2-5)</t>
        </is>
      </c>
      <c r="B28" s="43" t="inlineStr">
        <is>
          <t>%</t>
        </is>
      </c>
      <c r="C28" s="48" t="inlineStr">
        <is>
          <t>—</t>
        </is>
      </c>
      <c r="D28" s="45" t="inlineStr"/>
      <c r="E28" s="46" t="inlineStr">
        <is>
          <t>·</t>
        </is>
      </c>
      <c r="F28" s="46" t="inlineStr">
        <is>
          <t>·</t>
        </is>
      </c>
      <c r="G28" s="46" t="inlineStr">
        <is>
          <t>·</t>
        </is>
      </c>
      <c r="H28" s="46" t="inlineStr">
        <is>
          <t>·</t>
        </is>
      </c>
      <c r="I28" s="46" t="inlineStr">
        <is>
          <t>·</t>
        </is>
      </c>
      <c r="J28" s="46" t="inlineStr">
        <is>
          <t>·</t>
        </is>
      </c>
      <c r="K28" s="46" t="inlineStr">
        <is>
          <t>·</t>
        </is>
      </c>
      <c r="L28" s="46" t="inlineStr">
        <is>
          <t>·</t>
        </is>
      </c>
      <c r="M28" s="46" t="inlineStr">
        <is>
          <t>·</t>
        </is>
      </c>
      <c r="N28" s="46" t="inlineStr">
        <is>
          <t>·</t>
        </is>
      </c>
      <c r="O28" s="46" t="inlineStr">
        <is>
          <t>·</t>
        </is>
      </c>
      <c r="P28" s="46" t="inlineStr">
        <is>
          <t>·</t>
        </is>
      </c>
      <c r="Q28" s="46" t="inlineStr">
        <is>
          <t>·</t>
        </is>
      </c>
      <c r="R28" s="46" t="inlineStr">
        <is>
          <t>·</t>
        </is>
      </c>
      <c r="S28" s="46" t="inlineStr">
        <is>
          <t>·</t>
        </is>
      </c>
      <c r="T28" s="46" t="inlineStr">
        <is>
          <t>·</t>
        </is>
      </c>
      <c r="U28" s="46" t="inlineStr">
        <is>
          <t>·</t>
        </is>
      </c>
      <c r="V28" s="46" t="inlineStr">
        <is>
          <t>·</t>
        </is>
      </c>
      <c r="W28" s="46" t="inlineStr">
        <is>
          <t>·</t>
        </is>
      </c>
      <c r="X28" s="46" t="inlineStr">
        <is>
          <t>·</t>
        </is>
      </c>
      <c r="Y28" s="46" t="inlineStr">
        <is>
          <t>·</t>
        </is>
      </c>
      <c r="Z28" s="46" t="inlineStr">
        <is>
          <t>·</t>
        </is>
      </c>
      <c r="AA28" s="46" t="inlineStr">
        <is>
          <t>·</t>
        </is>
      </c>
      <c r="AB28" s="46" t="inlineStr">
        <is>
          <t>·</t>
        </is>
      </c>
      <c r="AC28" s="46" t="inlineStr">
        <is>
          <t>·</t>
        </is>
      </c>
      <c r="AD28" s="46" t="inlineStr">
        <is>
          <t>·</t>
        </is>
      </c>
      <c r="AE28" s="46" t="inlineStr">
        <is>
          <t>·</t>
        </is>
      </c>
      <c r="AF28" s="46" t="inlineStr">
        <is>
          <t>·</t>
        </is>
      </c>
      <c r="AG28" s="46" t="inlineStr">
        <is>
          <t>·</t>
        </is>
      </c>
      <c r="AH28" s="46" t="inlineStr">
        <is>
          <t>·</t>
        </is>
      </c>
      <c r="AI28" s="46" t="inlineStr">
        <is>
          <t>·</t>
        </is>
      </c>
      <c r="AJ28" s="46" t="inlineStr">
        <is>
          <t>·</t>
        </is>
      </c>
      <c r="AK28" s="46" t="inlineStr">
        <is>
          <t>·</t>
        </is>
      </c>
      <c r="AL28" s="46" t="inlineStr">
        <is>
          <t>·</t>
        </is>
      </c>
      <c r="AM28" s="46" t="inlineStr">
        <is>
          <t>·</t>
        </is>
      </c>
      <c r="AN28" s="46" t="inlineStr">
        <is>
          <t>·</t>
        </is>
      </c>
      <c r="AO28" s="46" t="inlineStr">
        <is>
          <t>·</t>
        </is>
      </c>
      <c r="AP28" s="46" t="inlineStr">
        <is>
          <t>·</t>
        </is>
      </c>
      <c r="AQ28" s="46" t="inlineStr">
        <is>
          <t>·</t>
        </is>
      </c>
      <c r="AR28" s="46" t="inlineStr">
        <is>
          <t>·</t>
        </is>
      </c>
      <c r="AS28" s="46" t="inlineStr">
        <is>
          <t>·</t>
        </is>
      </c>
      <c r="AT28" s="46" t="inlineStr">
        <is>
          <t>·</t>
        </is>
      </c>
      <c r="AU28" s="46" t="inlineStr">
        <is>
          <t>·</t>
        </is>
      </c>
      <c r="AV28" s="46" t="inlineStr">
        <is>
          <t>·</t>
        </is>
      </c>
      <c r="AW28" s="46" t="inlineStr">
        <is>
          <t>·</t>
        </is>
      </c>
      <c r="AX28" s="46" t="inlineStr">
        <is>
          <t>·</t>
        </is>
      </c>
      <c r="AY28" s="46" t="inlineStr">
        <is>
          <t>·</t>
        </is>
      </c>
      <c r="AZ28" s="46" t="inlineStr">
        <is>
          <t>·</t>
        </is>
      </c>
      <c r="BA28" s="46" t="inlineStr">
        <is>
          <t>·</t>
        </is>
      </c>
      <c r="BB28" s="46" t="inlineStr">
        <is>
          <t>·</t>
        </is>
      </c>
      <c r="BC28" s="46" t="inlineStr">
        <is>
          <t>·</t>
        </is>
      </c>
      <c r="BD28" s="46" t="inlineStr">
        <is>
          <t>·</t>
        </is>
      </c>
      <c r="BE28" s="46" t="inlineStr">
        <is>
          <t>·</t>
        </is>
      </c>
      <c r="BF28" s="46" t="inlineStr">
        <is>
          <t>·</t>
        </is>
      </c>
      <c r="BG28" s="46" t="inlineStr">
        <is>
          <t>·</t>
        </is>
      </c>
      <c r="BH28" s="46" t="inlineStr">
        <is>
          <t>·</t>
        </is>
      </c>
      <c r="BI28" s="46" t="inlineStr">
        <is>
          <t>·</t>
        </is>
      </c>
      <c r="BJ28" s="46" t="inlineStr">
        <is>
          <t>·</t>
        </is>
      </c>
      <c r="BK28" s="46" t="inlineStr">
        <is>
          <t>·</t>
        </is>
      </c>
      <c r="BL28" s="46" t="inlineStr">
        <is>
          <t>·</t>
        </is>
      </c>
      <c r="BN28" s="46" t="inlineStr">
        <is>
          <t>—</t>
        </is>
      </c>
      <c r="BO28" s="55" t="n">
        <v>0.1</v>
      </c>
      <c r="BP28" s="55" t="n">
        <v>0.1</v>
      </c>
      <c r="BQ28" s="55" t="n">
        <v>0.1</v>
      </c>
      <c r="BR28" s="55" t="n">
        <v>0.1</v>
      </c>
    </row>
    <row r="29">
      <c r="A29" s="42" t="inlineStr">
        <is>
          <t xml:space="preserve">    Цена — год (Г1 ввод; Г2-5 = цепная индексация)</t>
        </is>
      </c>
      <c r="B29" s="43" t="inlineStr">
        <is>
          <t>руб/ед</t>
        </is>
      </c>
      <c r="C29" s="48" t="inlineStr">
        <is>
          <t>—</t>
        </is>
      </c>
      <c r="D29" s="45" t="inlineStr"/>
      <c r="E29" s="46" t="inlineStr">
        <is>
          <t>·</t>
        </is>
      </c>
      <c r="F29" s="46" t="inlineStr">
        <is>
          <t>·</t>
        </is>
      </c>
      <c r="G29" s="46" t="inlineStr">
        <is>
          <t>·</t>
        </is>
      </c>
      <c r="H29" s="46" t="inlineStr">
        <is>
          <t>·</t>
        </is>
      </c>
      <c r="I29" s="46" t="inlineStr">
        <is>
          <t>·</t>
        </is>
      </c>
      <c r="J29" s="46" t="inlineStr">
        <is>
          <t>·</t>
        </is>
      </c>
      <c r="K29" s="46" t="inlineStr">
        <is>
          <t>·</t>
        </is>
      </c>
      <c r="L29" s="46" t="inlineStr">
        <is>
          <t>·</t>
        </is>
      </c>
      <c r="M29" s="46" t="inlineStr">
        <is>
          <t>·</t>
        </is>
      </c>
      <c r="N29" s="46" t="inlineStr">
        <is>
          <t>·</t>
        </is>
      </c>
      <c r="O29" s="46" t="inlineStr">
        <is>
          <t>·</t>
        </is>
      </c>
      <c r="P29" s="46" t="inlineStr">
        <is>
          <t>·</t>
        </is>
      </c>
      <c r="Q29" s="46" t="inlineStr">
        <is>
          <t>·</t>
        </is>
      </c>
      <c r="R29" s="46" t="inlineStr">
        <is>
          <t>·</t>
        </is>
      </c>
      <c r="S29" s="46" t="inlineStr">
        <is>
          <t>·</t>
        </is>
      </c>
      <c r="T29" s="46" t="inlineStr">
        <is>
          <t>·</t>
        </is>
      </c>
      <c r="U29" s="46" t="inlineStr">
        <is>
          <t>·</t>
        </is>
      </c>
      <c r="V29" s="46" t="inlineStr">
        <is>
          <t>·</t>
        </is>
      </c>
      <c r="W29" s="46" t="inlineStr">
        <is>
          <t>·</t>
        </is>
      </c>
      <c r="X29" s="46" t="inlineStr">
        <is>
          <t>·</t>
        </is>
      </c>
      <c r="Y29" s="46" t="inlineStr">
        <is>
          <t>·</t>
        </is>
      </c>
      <c r="Z29" s="46" t="inlineStr">
        <is>
          <t>·</t>
        </is>
      </c>
      <c r="AA29" s="46" t="inlineStr">
        <is>
          <t>·</t>
        </is>
      </c>
      <c r="AB29" s="46" t="inlineStr">
        <is>
          <t>·</t>
        </is>
      </c>
      <c r="AC29" s="46" t="inlineStr">
        <is>
          <t>·</t>
        </is>
      </c>
      <c r="AD29" s="46" t="inlineStr">
        <is>
          <t>·</t>
        </is>
      </c>
      <c r="AE29" s="46" t="inlineStr">
        <is>
          <t>·</t>
        </is>
      </c>
      <c r="AF29" s="46" t="inlineStr">
        <is>
          <t>·</t>
        </is>
      </c>
      <c r="AG29" s="46" t="inlineStr">
        <is>
          <t>·</t>
        </is>
      </c>
      <c r="AH29" s="46" t="inlineStr">
        <is>
          <t>·</t>
        </is>
      </c>
      <c r="AI29" s="46" t="inlineStr">
        <is>
          <t>·</t>
        </is>
      </c>
      <c r="AJ29" s="46" t="inlineStr">
        <is>
          <t>·</t>
        </is>
      </c>
      <c r="AK29" s="46" t="inlineStr">
        <is>
          <t>·</t>
        </is>
      </c>
      <c r="AL29" s="46" t="inlineStr">
        <is>
          <t>·</t>
        </is>
      </c>
      <c r="AM29" s="46" t="inlineStr">
        <is>
          <t>·</t>
        </is>
      </c>
      <c r="AN29" s="46" t="inlineStr">
        <is>
          <t>·</t>
        </is>
      </c>
      <c r="AO29" s="46" t="inlineStr">
        <is>
          <t>·</t>
        </is>
      </c>
      <c r="AP29" s="46" t="inlineStr">
        <is>
          <t>·</t>
        </is>
      </c>
      <c r="AQ29" s="46" t="inlineStr">
        <is>
          <t>·</t>
        </is>
      </c>
      <c r="AR29" s="46" t="inlineStr">
        <is>
          <t>·</t>
        </is>
      </c>
      <c r="AS29" s="46" t="inlineStr">
        <is>
          <t>·</t>
        </is>
      </c>
      <c r="AT29" s="46" t="inlineStr">
        <is>
          <t>·</t>
        </is>
      </c>
      <c r="AU29" s="46" t="inlineStr">
        <is>
          <t>·</t>
        </is>
      </c>
      <c r="AV29" s="46" t="inlineStr">
        <is>
          <t>·</t>
        </is>
      </c>
      <c r="AW29" s="46" t="inlineStr">
        <is>
          <t>·</t>
        </is>
      </c>
      <c r="AX29" s="46" t="inlineStr">
        <is>
          <t>·</t>
        </is>
      </c>
      <c r="AY29" s="46" t="inlineStr">
        <is>
          <t>·</t>
        </is>
      </c>
      <c r="AZ29" s="46" t="inlineStr">
        <is>
          <t>·</t>
        </is>
      </c>
      <c r="BA29" s="46" t="inlineStr">
        <is>
          <t>·</t>
        </is>
      </c>
      <c r="BB29" s="46" t="inlineStr">
        <is>
          <t>·</t>
        </is>
      </c>
      <c r="BC29" s="46" t="inlineStr">
        <is>
          <t>·</t>
        </is>
      </c>
      <c r="BD29" s="46" t="inlineStr">
        <is>
          <t>·</t>
        </is>
      </c>
      <c r="BE29" s="46" t="inlineStr">
        <is>
          <t>·</t>
        </is>
      </c>
      <c r="BF29" s="46" t="inlineStr">
        <is>
          <t>·</t>
        </is>
      </c>
      <c r="BG29" s="46" t="inlineStr">
        <is>
          <t>·</t>
        </is>
      </c>
      <c r="BH29" s="46" t="inlineStr">
        <is>
          <t>·</t>
        </is>
      </c>
      <c r="BI29" s="46" t="inlineStr">
        <is>
          <t>·</t>
        </is>
      </c>
      <c r="BJ29" s="46" t="inlineStr">
        <is>
          <t>·</t>
        </is>
      </c>
      <c r="BK29" s="46" t="inlineStr">
        <is>
          <t>·</t>
        </is>
      </c>
      <c r="BL29" s="46" t="inlineStr">
        <is>
          <t>·</t>
        </is>
      </c>
      <c r="BN29" s="47" t="n">
        <v>3362.6</v>
      </c>
      <c r="BO29" s="54">
        <f>BN29*(1+BO28+'Сценарии'!D$25)</f>
        <v/>
      </c>
      <c r="BP29" s="54">
        <f>BO29*(1+BP28+'Сценарии'!E$25)</f>
        <v/>
      </c>
      <c r="BQ29" s="54">
        <f>BP29*(1+BQ28+'Сценарии'!F$25)</f>
        <v/>
      </c>
      <c r="BR29" s="54">
        <f>BQ29*(1+BR28+'Сценарии'!G$25)</f>
        <v/>
      </c>
    </row>
    <row r="30">
      <c r="A30" s="51" t="inlineStr">
        <is>
          <t xml:space="preserve">    Цена (мес)</t>
        </is>
      </c>
      <c r="B30" s="52" t="inlineStr">
        <is>
          <t>руб/ед</t>
        </is>
      </c>
      <c r="C30" s="48" t="inlineStr">
        <is>
          <t>—</t>
        </is>
      </c>
      <c r="D30" s="45" t="inlineStr"/>
      <c r="E30" s="54">
        <f>BN29</f>
        <v/>
      </c>
      <c r="F30" s="54">
        <f>BN29</f>
        <v/>
      </c>
      <c r="G30" s="54">
        <f>BN29</f>
        <v/>
      </c>
      <c r="H30" s="54">
        <f>BN29</f>
        <v/>
      </c>
      <c r="I30" s="54">
        <f>BN29</f>
        <v/>
      </c>
      <c r="J30" s="54">
        <f>BN29</f>
        <v/>
      </c>
      <c r="K30" s="54">
        <f>BN29</f>
        <v/>
      </c>
      <c r="L30" s="54">
        <f>BN29</f>
        <v/>
      </c>
      <c r="M30" s="54">
        <f>BN29</f>
        <v/>
      </c>
      <c r="N30" s="54">
        <f>BN29</f>
        <v/>
      </c>
      <c r="O30" s="54">
        <f>BN29</f>
        <v/>
      </c>
      <c r="P30" s="54">
        <f>BN29</f>
        <v/>
      </c>
      <c r="Q30" s="54">
        <f>BO29</f>
        <v/>
      </c>
      <c r="R30" s="54">
        <f>BO29</f>
        <v/>
      </c>
      <c r="S30" s="54">
        <f>BO29</f>
        <v/>
      </c>
      <c r="T30" s="54">
        <f>BO29</f>
        <v/>
      </c>
      <c r="U30" s="54">
        <f>BO29</f>
        <v/>
      </c>
      <c r="V30" s="54">
        <f>BO29</f>
        <v/>
      </c>
      <c r="W30" s="54">
        <f>BO29</f>
        <v/>
      </c>
      <c r="X30" s="54">
        <f>BO29</f>
        <v/>
      </c>
      <c r="Y30" s="54">
        <f>BO29</f>
        <v/>
      </c>
      <c r="Z30" s="54">
        <f>BO29</f>
        <v/>
      </c>
      <c r="AA30" s="54">
        <f>BO29</f>
        <v/>
      </c>
      <c r="AB30" s="54">
        <f>BO29</f>
        <v/>
      </c>
      <c r="AC30" s="54">
        <f>BP29</f>
        <v/>
      </c>
      <c r="AD30" s="54">
        <f>BP29</f>
        <v/>
      </c>
      <c r="AE30" s="54">
        <f>BP29</f>
        <v/>
      </c>
      <c r="AF30" s="54">
        <f>BP29</f>
        <v/>
      </c>
      <c r="AG30" s="54">
        <f>BP29</f>
        <v/>
      </c>
      <c r="AH30" s="54">
        <f>BP29</f>
        <v/>
      </c>
      <c r="AI30" s="54">
        <f>BP29</f>
        <v/>
      </c>
      <c r="AJ30" s="54">
        <f>BP29</f>
        <v/>
      </c>
      <c r="AK30" s="54">
        <f>BP29</f>
        <v/>
      </c>
      <c r="AL30" s="54">
        <f>BP29</f>
        <v/>
      </c>
      <c r="AM30" s="54">
        <f>BP29</f>
        <v/>
      </c>
      <c r="AN30" s="54">
        <f>BP29</f>
        <v/>
      </c>
      <c r="AO30" s="54">
        <f>BQ29</f>
        <v/>
      </c>
      <c r="AP30" s="54">
        <f>BQ29</f>
        <v/>
      </c>
      <c r="AQ30" s="54">
        <f>BQ29</f>
        <v/>
      </c>
      <c r="AR30" s="54">
        <f>BQ29</f>
        <v/>
      </c>
      <c r="AS30" s="54">
        <f>BQ29</f>
        <v/>
      </c>
      <c r="AT30" s="54">
        <f>BQ29</f>
        <v/>
      </c>
      <c r="AU30" s="54">
        <f>BQ29</f>
        <v/>
      </c>
      <c r="AV30" s="54">
        <f>BQ29</f>
        <v/>
      </c>
      <c r="AW30" s="54">
        <f>BQ29</f>
        <v/>
      </c>
      <c r="AX30" s="54">
        <f>BQ29</f>
        <v/>
      </c>
      <c r="AY30" s="54">
        <f>BQ29</f>
        <v/>
      </c>
      <c r="AZ30" s="54">
        <f>BQ29</f>
        <v/>
      </c>
      <c r="BA30" s="54">
        <f>BR29</f>
        <v/>
      </c>
      <c r="BB30" s="54">
        <f>BR29</f>
        <v/>
      </c>
      <c r="BC30" s="54">
        <f>BR29</f>
        <v/>
      </c>
      <c r="BD30" s="54">
        <f>BR29</f>
        <v/>
      </c>
      <c r="BE30" s="54">
        <f>BR29</f>
        <v/>
      </c>
      <c r="BF30" s="54">
        <f>BR29</f>
        <v/>
      </c>
      <c r="BG30" s="54">
        <f>BR29</f>
        <v/>
      </c>
      <c r="BH30" s="54">
        <f>BR29</f>
        <v/>
      </c>
      <c r="BI30" s="54">
        <f>BR29</f>
        <v/>
      </c>
      <c r="BJ30" s="54">
        <f>BR29</f>
        <v/>
      </c>
      <c r="BK30" s="54">
        <f>BR29</f>
        <v/>
      </c>
      <c r="BL30" s="54">
        <f>BR29</f>
        <v/>
      </c>
    </row>
    <row r="31"/>
    <row r="32" ht="22" customHeight="1">
      <c r="A32" s="41" t="inlineStr">
        <is>
          <t xml:space="preserve">  СЕГМЕНТ: БАР/КУХНЯ И RETAIL</t>
        </is>
      </c>
    </row>
    <row r="33">
      <c r="A33" s="42" t="inlineStr">
        <is>
          <t xml:space="preserve">    Объём — норматив года</t>
        </is>
      </c>
      <c r="B33" s="43" t="inlineStr">
        <is>
          <t>ед.</t>
        </is>
      </c>
      <c r="C33" s="44">
        <f>SUM(BN33:BR33)</f>
        <v/>
      </c>
      <c r="D33" s="45" t="inlineStr"/>
      <c r="E33" s="46" t="inlineStr">
        <is>
          <t>·</t>
        </is>
      </c>
      <c r="F33" s="46" t="inlineStr">
        <is>
          <t>·</t>
        </is>
      </c>
      <c r="G33" s="46" t="inlineStr">
        <is>
          <t>·</t>
        </is>
      </c>
      <c r="H33" s="46" t="inlineStr">
        <is>
          <t>·</t>
        </is>
      </c>
      <c r="I33" s="46" t="inlineStr">
        <is>
          <t>·</t>
        </is>
      </c>
      <c r="J33" s="46" t="inlineStr">
        <is>
          <t>·</t>
        </is>
      </c>
      <c r="K33" s="46" t="inlineStr">
        <is>
          <t>·</t>
        </is>
      </c>
      <c r="L33" s="46" t="inlineStr">
        <is>
          <t>·</t>
        </is>
      </c>
      <c r="M33" s="46" t="inlineStr">
        <is>
          <t>·</t>
        </is>
      </c>
      <c r="N33" s="46" t="inlineStr">
        <is>
          <t>·</t>
        </is>
      </c>
      <c r="O33" s="46" t="inlineStr">
        <is>
          <t>·</t>
        </is>
      </c>
      <c r="P33" s="46" t="inlineStr">
        <is>
          <t>·</t>
        </is>
      </c>
      <c r="Q33" s="46" t="inlineStr">
        <is>
          <t>·</t>
        </is>
      </c>
      <c r="R33" s="46" t="inlineStr">
        <is>
          <t>·</t>
        </is>
      </c>
      <c r="S33" s="46" t="inlineStr">
        <is>
          <t>·</t>
        </is>
      </c>
      <c r="T33" s="46" t="inlineStr">
        <is>
          <t>·</t>
        </is>
      </c>
      <c r="U33" s="46" t="inlineStr">
        <is>
          <t>·</t>
        </is>
      </c>
      <c r="V33" s="46" t="inlineStr">
        <is>
          <t>·</t>
        </is>
      </c>
      <c r="W33" s="46" t="inlineStr">
        <is>
          <t>·</t>
        </is>
      </c>
      <c r="X33" s="46" t="inlineStr">
        <is>
          <t>·</t>
        </is>
      </c>
      <c r="Y33" s="46" t="inlineStr">
        <is>
          <t>·</t>
        </is>
      </c>
      <c r="Z33" s="46" t="inlineStr">
        <is>
          <t>·</t>
        </is>
      </c>
      <c r="AA33" s="46" t="inlineStr">
        <is>
          <t>·</t>
        </is>
      </c>
      <c r="AB33" s="46" t="inlineStr">
        <is>
          <t>·</t>
        </is>
      </c>
      <c r="AC33" s="46" t="inlineStr">
        <is>
          <t>·</t>
        </is>
      </c>
      <c r="AD33" s="46" t="inlineStr">
        <is>
          <t>·</t>
        </is>
      </c>
      <c r="AE33" s="46" t="inlineStr">
        <is>
          <t>·</t>
        </is>
      </c>
      <c r="AF33" s="46" t="inlineStr">
        <is>
          <t>·</t>
        </is>
      </c>
      <c r="AG33" s="46" t="inlineStr">
        <is>
          <t>·</t>
        </is>
      </c>
      <c r="AH33" s="46" t="inlineStr">
        <is>
          <t>·</t>
        </is>
      </c>
      <c r="AI33" s="46" t="inlineStr">
        <is>
          <t>·</t>
        </is>
      </c>
      <c r="AJ33" s="46" t="inlineStr">
        <is>
          <t>·</t>
        </is>
      </c>
      <c r="AK33" s="46" t="inlineStr">
        <is>
          <t>·</t>
        </is>
      </c>
      <c r="AL33" s="46" t="inlineStr">
        <is>
          <t>·</t>
        </is>
      </c>
      <c r="AM33" s="46" t="inlineStr">
        <is>
          <t>·</t>
        </is>
      </c>
      <c r="AN33" s="46" t="inlineStr">
        <is>
          <t>·</t>
        </is>
      </c>
      <c r="AO33" s="46" t="inlineStr">
        <is>
          <t>·</t>
        </is>
      </c>
      <c r="AP33" s="46" t="inlineStr">
        <is>
          <t>·</t>
        </is>
      </c>
      <c r="AQ33" s="46" t="inlineStr">
        <is>
          <t>·</t>
        </is>
      </c>
      <c r="AR33" s="46" t="inlineStr">
        <is>
          <t>·</t>
        </is>
      </c>
      <c r="AS33" s="46" t="inlineStr">
        <is>
          <t>·</t>
        </is>
      </c>
      <c r="AT33" s="46" t="inlineStr">
        <is>
          <t>·</t>
        </is>
      </c>
      <c r="AU33" s="46" t="inlineStr">
        <is>
          <t>·</t>
        </is>
      </c>
      <c r="AV33" s="46" t="inlineStr">
        <is>
          <t>·</t>
        </is>
      </c>
      <c r="AW33" s="46" t="inlineStr">
        <is>
          <t>·</t>
        </is>
      </c>
      <c r="AX33" s="46" t="inlineStr">
        <is>
          <t>·</t>
        </is>
      </c>
      <c r="AY33" s="46" t="inlineStr">
        <is>
          <t>·</t>
        </is>
      </c>
      <c r="AZ33" s="46" t="inlineStr">
        <is>
          <t>·</t>
        </is>
      </c>
      <c r="BA33" s="46" t="inlineStr">
        <is>
          <t>·</t>
        </is>
      </c>
      <c r="BB33" s="46" t="inlineStr">
        <is>
          <t>·</t>
        </is>
      </c>
      <c r="BC33" s="46" t="inlineStr">
        <is>
          <t>·</t>
        </is>
      </c>
      <c r="BD33" s="46" t="inlineStr">
        <is>
          <t>·</t>
        </is>
      </c>
      <c r="BE33" s="46" t="inlineStr">
        <is>
          <t>·</t>
        </is>
      </c>
      <c r="BF33" s="46" t="inlineStr">
        <is>
          <t>·</t>
        </is>
      </c>
      <c r="BG33" s="46" t="inlineStr">
        <is>
          <t>·</t>
        </is>
      </c>
      <c r="BH33" s="46" t="inlineStr">
        <is>
          <t>·</t>
        </is>
      </c>
      <c r="BI33" s="46" t="inlineStr">
        <is>
          <t>·</t>
        </is>
      </c>
      <c r="BJ33" s="46" t="inlineStr">
        <is>
          <t>·</t>
        </is>
      </c>
      <c r="BK33" s="46" t="inlineStr">
        <is>
          <t>·</t>
        </is>
      </c>
      <c r="BL33" s="46" t="inlineStr">
        <is>
          <t>·</t>
        </is>
      </c>
      <c r="BN33" s="47" t="n">
        <v>7324.56</v>
      </c>
      <c r="BO33" s="47" t="n">
        <v>39064.32</v>
      </c>
      <c r="BP33" s="47" t="n">
        <v>48830.4</v>
      </c>
      <c r="BQ33" s="47" t="n">
        <v>48830.4</v>
      </c>
      <c r="BR33" s="47" t="n">
        <v>48830.4</v>
      </c>
    </row>
    <row r="34">
      <c r="A34" s="42" t="inlineStr">
        <is>
          <t xml:space="preserve">    Сезонность (мес, среднее=1.0)</t>
        </is>
      </c>
      <c r="B34" s="43" t="inlineStr">
        <is>
          <t>×</t>
        </is>
      </c>
      <c r="C34" s="48" t="inlineStr">
        <is>
          <t>—</t>
        </is>
      </c>
      <c r="D34" s="45" t="inlineStr"/>
      <c r="E34" s="49" t="n">
        <v>1.3</v>
      </c>
      <c r="F34" s="49" t="n">
        <v>1.3</v>
      </c>
      <c r="G34" s="49" t="n">
        <v>0.975</v>
      </c>
      <c r="H34" s="49" t="n">
        <v>0.975</v>
      </c>
      <c r="I34" s="49" t="n">
        <v>0.975</v>
      </c>
      <c r="J34" s="49" t="n">
        <v>0.75</v>
      </c>
      <c r="K34" s="49" t="n">
        <v>0.75</v>
      </c>
      <c r="L34" s="49" t="n">
        <v>0.75</v>
      </c>
      <c r="M34" s="49" t="n">
        <v>0.975</v>
      </c>
      <c r="N34" s="49" t="n">
        <v>0.975</v>
      </c>
      <c r="O34" s="49" t="n">
        <v>0.975</v>
      </c>
      <c r="P34" s="49" t="n">
        <v>1.3</v>
      </c>
      <c r="Q34" s="50">
        <f>E34</f>
        <v/>
      </c>
      <c r="R34" s="50">
        <f>F34</f>
        <v/>
      </c>
      <c r="S34" s="50">
        <f>G34</f>
        <v/>
      </c>
      <c r="T34" s="50">
        <f>H34</f>
        <v/>
      </c>
      <c r="U34" s="50">
        <f>I34</f>
        <v/>
      </c>
      <c r="V34" s="50">
        <f>J34</f>
        <v/>
      </c>
      <c r="W34" s="50">
        <f>K34</f>
        <v/>
      </c>
      <c r="X34" s="50">
        <f>L34</f>
        <v/>
      </c>
      <c r="Y34" s="50">
        <f>M34</f>
        <v/>
      </c>
      <c r="Z34" s="50">
        <f>N34</f>
        <v/>
      </c>
      <c r="AA34" s="50">
        <f>O34</f>
        <v/>
      </c>
      <c r="AB34" s="50">
        <f>P34</f>
        <v/>
      </c>
      <c r="AC34" s="50">
        <f>E34</f>
        <v/>
      </c>
      <c r="AD34" s="50">
        <f>F34</f>
        <v/>
      </c>
      <c r="AE34" s="50">
        <f>G34</f>
        <v/>
      </c>
      <c r="AF34" s="50">
        <f>H34</f>
        <v/>
      </c>
      <c r="AG34" s="50">
        <f>I34</f>
        <v/>
      </c>
      <c r="AH34" s="50">
        <f>J34</f>
        <v/>
      </c>
      <c r="AI34" s="50">
        <f>K34</f>
        <v/>
      </c>
      <c r="AJ34" s="50">
        <f>L34</f>
        <v/>
      </c>
      <c r="AK34" s="50">
        <f>M34</f>
        <v/>
      </c>
      <c r="AL34" s="50">
        <f>N34</f>
        <v/>
      </c>
      <c r="AM34" s="50">
        <f>O34</f>
        <v/>
      </c>
      <c r="AN34" s="50">
        <f>P34</f>
        <v/>
      </c>
      <c r="AO34" s="50">
        <f>E34</f>
        <v/>
      </c>
      <c r="AP34" s="50">
        <f>F34</f>
        <v/>
      </c>
      <c r="AQ34" s="50">
        <f>G34</f>
        <v/>
      </c>
      <c r="AR34" s="50">
        <f>H34</f>
        <v/>
      </c>
      <c r="AS34" s="50">
        <f>I34</f>
        <v/>
      </c>
      <c r="AT34" s="50">
        <f>J34</f>
        <v/>
      </c>
      <c r="AU34" s="50">
        <f>K34</f>
        <v/>
      </c>
      <c r="AV34" s="50">
        <f>L34</f>
        <v/>
      </c>
      <c r="AW34" s="50">
        <f>M34</f>
        <v/>
      </c>
      <c r="AX34" s="50">
        <f>N34</f>
        <v/>
      </c>
      <c r="AY34" s="50">
        <f>O34</f>
        <v/>
      </c>
      <c r="AZ34" s="50">
        <f>P34</f>
        <v/>
      </c>
      <c r="BA34" s="50">
        <f>E34</f>
        <v/>
      </c>
      <c r="BB34" s="50">
        <f>F34</f>
        <v/>
      </c>
      <c r="BC34" s="50">
        <f>G34</f>
        <v/>
      </c>
      <c r="BD34" s="50">
        <f>H34</f>
        <v/>
      </c>
      <c r="BE34" s="50">
        <f>I34</f>
        <v/>
      </c>
      <c r="BF34" s="50">
        <f>J34</f>
        <v/>
      </c>
      <c r="BG34" s="50">
        <f>K34</f>
        <v/>
      </c>
      <c r="BH34" s="50">
        <f>L34</f>
        <v/>
      </c>
      <c r="BI34" s="50">
        <f>M34</f>
        <v/>
      </c>
      <c r="BJ34" s="50">
        <f>N34</f>
        <v/>
      </c>
      <c r="BK34" s="50">
        <f>O34</f>
        <v/>
      </c>
      <c r="BL34" s="50">
        <f>P34</f>
        <v/>
      </c>
    </row>
    <row r="35">
      <c r="A35" s="42" t="inlineStr">
        <is>
          <t xml:space="preserve">    Рамп-ап (мес, 1.0 = полная загрузка)</t>
        </is>
      </c>
      <c r="B35" s="43" t="inlineStr">
        <is>
          <t>×</t>
        </is>
      </c>
      <c r="C35" s="48" t="inlineStr">
        <is>
          <t>—</t>
        </is>
      </c>
      <c r="D35" s="45" t="inlineStr"/>
      <c r="E35" s="49" t="n">
        <v>1</v>
      </c>
      <c r="F35" s="49" t="n">
        <v>1</v>
      </c>
      <c r="G35" s="49" t="n">
        <v>1</v>
      </c>
      <c r="H35" s="49" t="n">
        <v>1</v>
      </c>
      <c r="I35" s="49" t="n">
        <v>1</v>
      </c>
      <c r="J35" s="49" t="n">
        <v>1</v>
      </c>
      <c r="K35" s="49" t="n">
        <v>1</v>
      </c>
      <c r="L35" s="49" t="n">
        <v>1</v>
      </c>
      <c r="M35" s="49" t="n">
        <v>1</v>
      </c>
      <c r="N35" s="49" t="n">
        <v>1</v>
      </c>
      <c r="O35" s="49" t="n">
        <v>1</v>
      </c>
      <c r="P35" s="49" t="n">
        <v>1</v>
      </c>
      <c r="Q35" s="49" t="n">
        <v>1</v>
      </c>
      <c r="R35" s="49" t="n">
        <v>1</v>
      </c>
      <c r="S35" s="49" t="n">
        <v>1</v>
      </c>
      <c r="T35" s="49" t="n">
        <v>1</v>
      </c>
      <c r="U35" s="49" t="n">
        <v>1</v>
      </c>
      <c r="V35" s="49" t="n">
        <v>1</v>
      </c>
      <c r="W35" s="49" t="n">
        <v>1</v>
      </c>
      <c r="X35" s="49" t="n">
        <v>1</v>
      </c>
      <c r="Y35" s="49" t="n">
        <v>1</v>
      </c>
      <c r="Z35" s="49" t="n">
        <v>1</v>
      </c>
      <c r="AA35" s="49" t="n">
        <v>1</v>
      </c>
      <c r="AB35" s="49" t="n">
        <v>1</v>
      </c>
      <c r="AC35" s="49" t="n">
        <v>1</v>
      </c>
      <c r="AD35" s="49" t="n">
        <v>1</v>
      </c>
      <c r="AE35" s="49" t="n">
        <v>1</v>
      </c>
      <c r="AF35" s="49" t="n">
        <v>1</v>
      </c>
      <c r="AG35" s="49" t="n">
        <v>1</v>
      </c>
      <c r="AH35" s="49" t="n">
        <v>1</v>
      </c>
      <c r="AI35" s="49" t="n">
        <v>1</v>
      </c>
      <c r="AJ35" s="49" t="n">
        <v>1</v>
      </c>
      <c r="AK35" s="49" t="n">
        <v>1</v>
      </c>
      <c r="AL35" s="49" t="n">
        <v>1</v>
      </c>
      <c r="AM35" s="49" t="n">
        <v>1</v>
      </c>
      <c r="AN35" s="49" t="n">
        <v>1</v>
      </c>
      <c r="AO35" s="49" t="n">
        <v>1</v>
      </c>
      <c r="AP35" s="49" t="n">
        <v>1</v>
      </c>
      <c r="AQ35" s="49" t="n">
        <v>1</v>
      </c>
      <c r="AR35" s="49" t="n">
        <v>1</v>
      </c>
      <c r="AS35" s="49" t="n">
        <v>1</v>
      </c>
      <c r="AT35" s="49" t="n">
        <v>1</v>
      </c>
      <c r="AU35" s="49" t="n">
        <v>1</v>
      </c>
      <c r="AV35" s="49" t="n">
        <v>1</v>
      </c>
      <c r="AW35" s="49" t="n">
        <v>1</v>
      </c>
      <c r="AX35" s="49" t="n">
        <v>1</v>
      </c>
      <c r="AY35" s="49" t="n">
        <v>1</v>
      </c>
      <c r="AZ35" s="49" t="n">
        <v>1</v>
      </c>
      <c r="BA35" s="49" t="n">
        <v>1</v>
      </c>
      <c r="BB35" s="49" t="n">
        <v>1</v>
      </c>
      <c r="BC35" s="49" t="n">
        <v>1</v>
      </c>
      <c r="BD35" s="49" t="n">
        <v>1</v>
      </c>
      <c r="BE35" s="49" t="n">
        <v>1</v>
      </c>
      <c r="BF35" s="49" t="n">
        <v>1</v>
      </c>
      <c r="BG35" s="49" t="n">
        <v>1</v>
      </c>
      <c r="BH35" s="49" t="n">
        <v>1</v>
      </c>
      <c r="BI35" s="49" t="n">
        <v>1</v>
      </c>
      <c r="BJ35" s="49" t="n">
        <v>1</v>
      </c>
      <c r="BK35" s="49" t="n">
        <v>1</v>
      </c>
      <c r="BL35" s="49" t="n">
        <v>1</v>
      </c>
    </row>
    <row r="36">
      <c r="A36" s="51" t="inlineStr">
        <is>
          <t xml:space="preserve">    Объём (мес) = норм_год/12 × сезон × рамп</t>
        </is>
      </c>
      <c r="B36" s="52" t="inlineStr">
        <is>
          <t>ед.</t>
        </is>
      </c>
      <c r="C36" s="53">
        <f>SUM(BN36:BR36)</f>
        <v/>
      </c>
      <c r="D36" s="45" t="inlineStr"/>
      <c r="E36" s="54">
        <f>BN33/12*E34*E35*'Сценарии'!C$24</f>
        <v/>
      </c>
      <c r="F36" s="54">
        <f>BN33/12*F34*F35*'Сценарии'!C$24</f>
        <v/>
      </c>
      <c r="G36" s="54">
        <f>BN33/12*G34*G35*'Сценарии'!C$24</f>
        <v/>
      </c>
      <c r="H36" s="54">
        <f>BN33/12*H34*H35*'Сценарии'!C$24</f>
        <v/>
      </c>
      <c r="I36" s="54">
        <f>BN33/12*I34*I35*'Сценарии'!C$24</f>
        <v/>
      </c>
      <c r="J36" s="54">
        <f>BN33/12*J34*J35*'Сценарии'!C$24</f>
        <v/>
      </c>
      <c r="K36" s="54">
        <f>BN33/12*K34*K35*'Сценарии'!C$24</f>
        <v/>
      </c>
      <c r="L36" s="54">
        <f>BN33/12*L34*L35*'Сценарии'!C$24</f>
        <v/>
      </c>
      <c r="M36" s="54">
        <f>BN33/12*M34*M35*'Сценарии'!C$24</f>
        <v/>
      </c>
      <c r="N36" s="54">
        <f>BN33/12*N34*N35*'Сценарии'!C$24</f>
        <v/>
      </c>
      <c r="O36" s="54">
        <f>BN33/12*O34*O35*'Сценарии'!C$24</f>
        <v/>
      </c>
      <c r="P36" s="54">
        <f>BN33/12*P34*P35*'Сценарии'!C$24</f>
        <v/>
      </c>
      <c r="Q36" s="54">
        <f>BO33/12*Q34*Q35*'Сценарии'!D$24</f>
        <v/>
      </c>
      <c r="R36" s="54">
        <f>BO33/12*R34*R35*'Сценарии'!D$24</f>
        <v/>
      </c>
      <c r="S36" s="54">
        <f>BO33/12*S34*S35*'Сценарии'!D$24</f>
        <v/>
      </c>
      <c r="T36" s="54">
        <f>BO33/12*T34*T35*'Сценарии'!D$24</f>
        <v/>
      </c>
      <c r="U36" s="54">
        <f>BO33/12*U34*U35*'Сценарии'!D$24</f>
        <v/>
      </c>
      <c r="V36" s="54">
        <f>BO33/12*V34*V35*'Сценарии'!D$24</f>
        <v/>
      </c>
      <c r="W36" s="54">
        <f>BO33/12*W34*W35*'Сценарии'!D$24</f>
        <v/>
      </c>
      <c r="X36" s="54">
        <f>BO33/12*X34*X35*'Сценарии'!D$24</f>
        <v/>
      </c>
      <c r="Y36" s="54">
        <f>BO33/12*Y34*Y35*'Сценарии'!D$24</f>
        <v/>
      </c>
      <c r="Z36" s="54">
        <f>BO33/12*Z34*Z35*'Сценарии'!D$24</f>
        <v/>
      </c>
      <c r="AA36" s="54">
        <f>BO33/12*AA34*AA35*'Сценарии'!D$24</f>
        <v/>
      </c>
      <c r="AB36" s="54">
        <f>BO33/12*AB34*AB35*'Сценарии'!D$24</f>
        <v/>
      </c>
      <c r="AC36" s="54">
        <f>BP33/12*AC34*AC35*'Сценарии'!E$24</f>
        <v/>
      </c>
      <c r="AD36" s="54">
        <f>BP33/12*AD34*AD35*'Сценарии'!E$24</f>
        <v/>
      </c>
      <c r="AE36" s="54">
        <f>BP33/12*AE34*AE35*'Сценарии'!E$24</f>
        <v/>
      </c>
      <c r="AF36" s="54">
        <f>BP33/12*AF34*AF35*'Сценарии'!E$24</f>
        <v/>
      </c>
      <c r="AG36" s="54">
        <f>BP33/12*AG34*AG35*'Сценарии'!E$24</f>
        <v/>
      </c>
      <c r="AH36" s="54">
        <f>BP33/12*AH34*AH35*'Сценарии'!E$24</f>
        <v/>
      </c>
      <c r="AI36" s="54">
        <f>BP33/12*AI34*AI35*'Сценарии'!E$24</f>
        <v/>
      </c>
      <c r="AJ36" s="54">
        <f>BP33/12*AJ34*AJ35*'Сценарии'!E$24</f>
        <v/>
      </c>
      <c r="AK36" s="54">
        <f>BP33/12*AK34*AK35*'Сценарии'!E$24</f>
        <v/>
      </c>
      <c r="AL36" s="54">
        <f>BP33/12*AL34*AL35*'Сценарии'!E$24</f>
        <v/>
      </c>
      <c r="AM36" s="54">
        <f>BP33/12*AM34*AM35*'Сценарии'!E$24</f>
        <v/>
      </c>
      <c r="AN36" s="54">
        <f>BP33/12*AN34*AN35*'Сценарии'!E$24</f>
        <v/>
      </c>
      <c r="AO36" s="54">
        <f>BQ33/12*AO34*AO35*'Сценарии'!F$24</f>
        <v/>
      </c>
      <c r="AP36" s="54">
        <f>BQ33/12*AP34*AP35*'Сценарии'!F$24</f>
        <v/>
      </c>
      <c r="AQ36" s="54">
        <f>BQ33/12*AQ34*AQ35*'Сценарии'!F$24</f>
        <v/>
      </c>
      <c r="AR36" s="54">
        <f>BQ33/12*AR34*AR35*'Сценарии'!F$24</f>
        <v/>
      </c>
      <c r="AS36" s="54">
        <f>BQ33/12*AS34*AS35*'Сценарии'!F$24</f>
        <v/>
      </c>
      <c r="AT36" s="54">
        <f>BQ33/12*AT34*AT35*'Сценарии'!F$24</f>
        <v/>
      </c>
      <c r="AU36" s="54">
        <f>BQ33/12*AU34*AU35*'Сценарии'!F$24</f>
        <v/>
      </c>
      <c r="AV36" s="54">
        <f>BQ33/12*AV34*AV35*'Сценарии'!F$24</f>
        <v/>
      </c>
      <c r="AW36" s="54">
        <f>BQ33/12*AW34*AW35*'Сценарии'!F$24</f>
        <v/>
      </c>
      <c r="AX36" s="54">
        <f>BQ33/12*AX34*AX35*'Сценарии'!F$24</f>
        <v/>
      </c>
      <c r="AY36" s="54">
        <f>BQ33/12*AY34*AY35*'Сценарии'!F$24</f>
        <v/>
      </c>
      <c r="AZ36" s="54">
        <f>BQ33/12*AZ34*AZ35*'Сценарии'!F$24</f>
        <v/>
      </c>
      <c r="BA36" s="54">
        <f>BR33/12*BA34*BA35*'Сценарии'!G$24</f>
        <v/>
      </c>
      <c r="BB36" s="54">
        <f>BR33/12*BB34*BB35*'Сценарии'!G$24</f>
        <v/>
      </c>
      <c r="BC36" s="54">
        <f>BR33/12*BC34*BC35*'Сценарии'!G$24</f>
        <v/>
      </c>
      <c r="BD36" s="54">
        <f>BR33/12*BD34*BD35*'Сценарии'!G$24</f>
        <v/>
      </c>
      <c r="BE36" s="54">
        <f>BR33/12*BE34*BE35*'Сценарии'!G$24</f>
        <v/>
      </c>
      <c r="BF36" s="54">
        <f>BR33/12*BF34*BF35*'Сценарии'!G$24</f>
        <v/>
      </c>
      <c r="BG36" s="54">
        <f>BR33/12*BG34*BG35*'Сценарии'!G$24</f>
        <v/>
      </c>
      <c r="BH36" s="54">
        <f>BR33/12*BH34*BH35*'Сценарии'!G$24</f>
        <v/>
      </c>
      <c r="BI36" s="54">
        <f>BR33/12*BI34*BI35*'Сценарии'!G$24</f>
        <v/>
      </c>
      <c r="BJ36" s="54">
        <f>BR33/12*BJ34*BJ35*'Сценарии'!G$24</f>
        <v/>
      </c>
      <c r="BK36" s="54">
        <f>BR33/12*BK34*BK35*'Сценарии'!G$24</f>
        <v/>
      </c>
      <c r="BL36" s="54">
        <f>BR33/12*BL34*BL35*'Сценарии'!G$24</f>
        <v/>
      </c>
      <c r="BN36" s="53">
        <f>SUM(E36:P36)</f>
        <v/>
      </c>
      <c r="BO36" s="53">
        <f>SUM(Q36:AB36)</f>
        <v/>
      </c>
      <c r="BP36" s="53">
        <f>SUM(AC36:AN36)</f>
        <v/>
      </c>
      <c r="BQ36" s="53">
        <f>SUM(AO36:AZ36)</f>
        <v/>
      </c>
      <c r="BR36" s="53">
        <f>SUM(BA36:BL36)</f>
        <v/>
      </c>
    </row>
    <row r="37">
      <c r="A37" s="42" t="inlineStr">
        <is>
          <t xml:space="preserve">    Инфляция цены, %/год (Г2-5)</t>
        </is>
      </c>
      <c r="B37" s="43" t="inlineStr">
        <is>
          <t>%</t>
        </is>
      </c>
      <c r="C37" s="48" t="inlineStr">
        <is>
          <t>—</t>
        </is>
      </c>
      <c r="D37" s="45" t="inlineStr"/>
      <c r="E37" s="46" t="inlineStr">
        <is>
          <t>·</t>
        </is>
      </c>
      <c r="F37" s="46" t="inlineStr">
        <is>
          <t>·</t>
        </is>
      </c>
      <c r="G37" s="46" t="inlineStr">
        <is>
          <t>·</t>
        </is>
      </c>
      <c r="H37" s="46" t="inlineStr">
        <is>
          <t>·</t>
        </is>
      </c>
      <c r="I37" s="46" t="inlineStr">
        <is>
          <t>·</t>
        </is>
      </c>
      <c r="J37" s="46" t="inlineStr">
        <is>
          <t>·</t>
        </is>
      </c>
      <c r="K37" s="46" t="inlineStr">
        <is>
          <t>·</t>
        </is>
      </c>
      <c r="L37" s="46" t="inlineStr">
        <is>
          <t>·</t>
        </is>
      </c>
      <c r="M37" s="46" t="inlineStr">
        <is>
          <t>·</t>
        </is>
      </c>
      <c r="N37" s="46" t="inlineStr">
        <is>
          <t>·</t>
        </is>
      </c>
      <c r="O37" s="46" t="inlineStr">
        <is>
          <t>·</t>
        </is>
      </c>
      <c r="P37" s="46" t="inlineStr">
        <is>
          <t>·</t>
        </is>
      </c>
      <c r="Q37" s="46" t="inlineStr">
        <is>
          <t>·</t>
        </is>
      </c>
      <c r="R37" s="46" t="inlineStr">
        <is>
          <t>·</t>
        </is>
      </c>
      <c r="S37" s="46" t="inlineStr">
        <is>
          <t>·</t>
        </is>
      </c>
      <c r="T37" s="46" t="inlineStr">
        <is>
          <t>·</t>
        </is>
      </c>
      <c r="U37" s="46" t="inlineStr">
        <is>
          <t>·</t>
        </is>
      </c>
      <c r="V37" s="46" t="inlineStr">
        <is>
          <t>·</t>
        </is>
      </c>
      <c r="W37" s="46" t="inlineStr">
        <is>
          <t>·</t>
        </is>
      </c>
      <c r="X37" s="46" t="inlineStr">
        <is>
          <t>·</t>
        </is>
      </c>
      <c r="Y37" s="46" t="inlineStr">
        <is>
          <t>·</t>
        </is>
      </c>
      <c r="Z37" s="46" t="inlineStr">
        <is>
          <t>·</t>
        </is>
      </c>
      <c r="AA37" s="46" t="inlineStr">
        <is>
          <t>·</t>
        </is>
      </c>
      <c r="AB37" s="46" t="inlineStr">
        <is>
          <t>·</t>
        </is>
      </c>
      <c r="AC37" s="46" t="inlineStr">
        <is>
          <t>·</t>
        </is>
      </c>
      <c r="AD37" s="46" t="inlineStr">
        <is>
          <t>·</t>
        </is>
      </c>
      <c r="AE37" s="46" t="inlineStr">
        <is>
          <t>·</t>
        </is>
      </c>
      <c r="AF37" s="46" t="inlineStr">
        <is>
          <t>·</t>
        </is>
      </c>
      <c r="AG37" s="46" t="inlineStr">
        <is>
          <t>·</t>
        </is>
      </c>
      <c r="AH37" s="46" t="inlineStr">
        <is>
          <t>·</t>
        </is>
      </c>
      <c r="AI37" s="46" t="inlineStr">
        <is>
          <t>·</t>
        </is>
      </c>
      <c r="AJ37" s="46" t="inlineStr">
        <is>
          <t>·</t>
        </is>
      </c>
      <c r="AK37" s="46" t="inlineStr">
        <is>
          <t>·</t>
        </is>
      </c>
      <c r="AL37" s="46" t="inlineStr">
        <is>
          <t>·</t>
        </is>
      </c>
      <c r="AM37" s="46" t="inlineStr">
        <is>
          <t>·</t>
        </is>
      </c>
      <c r="AN37" s="46" t="inlineStr">
        <is>
          <t>·</t>
        </is>
      </c>
      <c r="AO37" s="46" t="inlineStr">
        <is>
          <t>·</t>
        </is>
      </c>
      <c r="AP37" s="46" t="inlineStr">
        <is>
          <t>·</t>
        </is>
      </c>
      <c r="AQ37" s="46" t="inlineStr">
        <is>
          <t>·</t>
        </is>
      </c>
      <c r="AR37" s="46" t="inlineStr">
        <is>
          <t>·</t>
        </is>
      </c>
      <c r="AS37" s="46" t="inlineStr">
        <is>
          <t>·</t>
        </is>
      </c>
      <c r="AT37" s="46" t="inlineStr">
        <is>
          <t>·</t>
        </is>
      </c>
      <c r="AU37" s="46" t="inlineStr">
        <is>
          <t>·</t>
        </is>
      </c>
      <c r="AV37" s="46" t="inlineStr">
        <is>
          <t>·</t>
        </is>
      </c>
      <c r="AW37" s="46" t="inlineStr">
        <is>
          <t>·</t>
        </is>
      </c>
      <c r="AX37" s="46" t="inlineStr">
        <is>
          <t>·</t>
        </is>
      </c>
      <c r="AY37" s="46" t="inlineStr">
        <is>
          <t>·</t>
        </is>
      </c>
      <c r="AZ37" s="46" t="inlineStr">
        <is>
          <t>·</t>
        </is>
      </c>
      <c r="BA37" s="46" t="inlineStr">
        <is>
          <t>·</t>
        </is>
      </c>
      <c r="BB37" s="46" t="inlineStr">
        <is>
          <t>·</t>
        </is>
      </c>
      <c r="BC37" s="46" t="inlineStr">
        <is>
          <t>·</t>
        </is>
      </c>
      <c r="BD37" s="46" t="inlineStr">
        <is>
          <t>·</t>
        </is>
      </c>
      <c r="BE37" s="46" t="inlineStr">
        <is>
          <t>·</t>
        </is>
      </c>
      <c r="BF37" s="46" t="inlineStr">
        <is>
          <t>·</t>
        </is>
      </c>
      <c r="BG37" s="46" t="inlineStr">
        <is>
          <t>·</t>
        </is>
      </c>
      <c r="BH37" s="46" t="inlineStr">
        <is>
          <t>·</t>
        </is>
      </c>
      <c r="BI37" s="46" t="inlineStr">
        <is>
          <t>·</t>
        </is>
      </c>
      <c r="BJ37" s="46" t="inlineStr">
        <is>
          <t>·</t>
        </is>
      </c>
      <c r="BK37" s="46" t="inlineStr">
        <is>
          <t>·</t>
        </is>
      </c>
      <c r="BL37" s="46" t="inlineStr">
        <is>
          <t>·</t>
        </is>
      </c>
      <c r="BN37" s="46" t="inlineStr">
        <is>
          <t>—</t>
        </is>
      </c>
      <c r="BO37" s="55" t="n">
        <v>0.1</v>
      </c>
      <c r="BP37" s="55" t="n">
        <v>0.1</v>
      </c>
      <c r="BQ37" s="55" t="n">
        <v>0.1</v>
      </c>
      <c r="BR37" s="55" t="n">
        <v>0.1</v>
      </c>
    </row>
    <row r="38">
      <c r="A38" s="42" t="inlineStr">
        <is>
          <t xml:space="preserve">    Цена — год (Г1 ввод; Г2-5 = цепная индексация)</t>
        </is>
      </c>
      <c r="B38" s="43" t="inlineStr">
        <is>
          <t>руб/ед</t>
        </is>
      </c>
      <c r="C38" s="48" t="inlineStr">
        <is>
          <t>—</t>
        </is>
      </c>
      <c r="D38" s="45" t="inlineStr"/>
      <c r="E38" s="46" t="inlineStr">
        <is>
          <t>·</t>
        </is>
      </c>
      <c r="F38" s="46" t="inlineStr">
        <is>
          <t>·</t>
        </is>
      </c>
      <c r="G38" s="46" t="inlineStr">
        <is>
          <t>·</t>
        </is>
      </c>
      <c r="H38" s="46" t="inlineStr">
        <is>
          <t>·</t>
        </is>
      </c>
      <c r="I38" s="46" t="inlineStr">
        <is>
          <t>·</t>
        </is>
      </c>
      <c r="J38" s="46" t="inlineStr">
        <is>
          <t>·</t>
        </is>
      </c>
      <c r="K38" s="46" t="inlineStr">
        <is>
          <t>·</t>
        </is>
      </c>
      <c r="L38" s="46" t="inlineStr">
        <is>
          <t>·</t>
        </is>
      </c>
      <c r="M38" s="46" t="inlineStr">
        <is>
          <t>·</t>
        </is>
      </c>
      <c r="N38" s="46" t="inlineStr">
        <is>
          <t>·</t>
        </is>
      </c>
      <c r="O38" s="46" t="inlineStr">
        <is>
          <t>·</t>
        </is>
      </c>
      <c r="P38" s="46" t="inlineStr">
        <is>
          <t>·</t>
        </is>
      </c>
      <c r="Q38" s="46" t="inlineStr">
        <is>
          <t>·</t>
        </is>
      </c>
      <c r="R38" s="46" t="inlineStr">
        <is>
          <t>·</t>
        </is>
      </c>
      <c r="S38" s="46" t="inlineStr">
        <is>
          <t>·</t>
        </is>
      </c>
      <c r="T38" s="46" t="inlineStr">
        <is>
          <t>·</t>
        </is>
      </c>
      <c r="U38" s="46" t="inlineStr">
        <is>
          <t>·</t>
        </is>
      </c>
      <c r="V38" s="46" t="inlineStr">
        <is>
          <t>·</t>
        </is>
      </c>
      <c r="W38" s="46" t="inlineStr">
        <is>
          <t>·</t>
        </is>
      </c>
      <c r="X38" s="46" t="inlineStr">
        <is>
          <t>·</t>
        </is>
      </c>
      <c r="Y38" s="46" t="inlineStr">
        <is>
          <t>·</t>
        </is>
      </c>
      <c r="Z38" s="46" t="inlineStr">
        <is>
          <t>·</t>
        </is>
      </c>
      <c r="AA38" s="46" t="inlineStr">
        <is>
          <t>·</t>
        </is>
      </c>
      <c r="AB38" s="46" t="inlineStr">
        <is>
          <t>·</t>
        </is>
      </c>
      <c r="AC38" s="46" t="inlineStr">
        <is>
          <t>·</t>
        </is>
      </c>
      <c r="AD38" s="46" t="inlineStr">
        <is>
          <t>·</t>
        </is>
      </c>
      <c r="AE38" s="46" t="inlineStr">
        <is>
          <t>·</t>
        </is>
      </c>
      <c r="AF38" s="46" t="inlineStr">
        <is>
          <t>·</t>
        </is>
      </c>
      <c r="AG38" s="46" t="inlineStr">
        <is>
          <t>·</t>
        </is>
      </c>
      <c r="AH38" s="46" t="inlineStr">
        <is>
          <t>·</t>
        </is>
      </c>
      <c r="AI38" s="46" t="inlineStr">
        <is>
          <t>·</t>
        </is>
      </c>
      <c r="AJ38" s="46" t="inlineStr">
        <is>
          <t>·</t>
        </is>
      </c>
      <c r="AK38" s="46" t="inlineStr">
        <is>
          <t>·</t>
        </is>
      </c>
      <c r="AL38" s="46" t="inlineStr">
        <is>
          <t>·</t>
        </is>
      </c>
      <c r="AM38" s="46" t="inlineStr">
        <is>
          <t>·</t>
        </is>
      </c>
      <c r="AN38" s="46" t="inlineStr">
        <is>
          <t>·</t>
        </is>
      </c>
      <c r="AO38" s="46" t="inlineStr">
        <is>
          <t>·</t>
        </is>
      </c>
      <c r="AP38" s="46" t="inlineStr">
        <is>
          <t>·</t>
        </is>
      </c>
      <c r="AQ38" s="46" t="inlineStr">
        <is>
          <t>·</t>
        </is>
      </c>
      <c r="AR38" s="46" t="inlineStr">
        <is>
          <t>·</t>
        </is>
      </c>
      <c r="AS38" s="46" t="inlineStr">
        <is>
          <t>·</t>
        </is>
      </c>
      <c r="AT38" s="46" t="inlineStr">
        <is>
          <t>·</t>
        </is>
      </c>
      <c r="AU38" s="46" t="inlineStr">
        <is>
          <t>·</t>
        </is>
      </c>
      <c r="AV38" s="46" t="inlineStr">
        <is>
          <t>·</t>
        </is>
      </c>
      <c r="AW38" s="46" t="inlineStr">
        <is>
          <t>·</t>
        </is>
      </c>
      <c r="AX38" s="46" t="inlineStr">
        <is>
          <t>·</t>
        </is>
      </c>
      <c r="AY38" s="46" t="inlineStr">
        <is>
          <t>·</t>
        </is>
      </c>
      <c r="AZ38" s="46" t="inlineStr">
        <is>
          <t>·</t>
        </is>
      </c>
      <c r="BA38" s="46" t="inlineStr">
        <is>
          <t>·</t>
        </is>
      </c>
      <c r="BB38" s="46" t="inlineStr">
        <is>
          <t>·</t>
        </is>
      </c>
      <c r="BC38" s="46" t="inlineStr">
        <is>
          <t>·</t>
        </is>
      </c>
      <c r="BD38" s="46" t="inlineStr">
        <is>
          <t>·</t>
        </is>
      </c>
      <c r="BE38" s="46" t="inlineStr">
        <is>
          <t>·</t>
        </is>
      </c>
      <c r="BF38" s="46" t="inlineStr">
        <is>
          <t>·</t>
        </is>
      </c>
      <c r="BG38" s="46" t="inlineStr">
        <is>
          <t>·</t>
        </is>
      </c>
      <c r="BH38" s="46" t="inlineStr">
        <is>
          <t>·</t>
        </is>
      </c>
      <c r="BI38" s="46" t="inlineStr">
        <is>
          <t>·</t>
        </is>
      </c>
      <c r="BJ38" s="46" t="inlineStr">
        <is>
          <t>·</t>
        </is>
      </c>
      <c r="BK38" s="46" t="inlineStr">
        <is>
          <t>·</t>
        </is>
      </c>
      <c r="BL38" s="46" t="inlineStr">
        <is>
          <t>·</t>
        </is>
      </c>
      <c r="BN38" s="47" t="n">
        <v>2974.65</v>
      </c>
      <c r="BO38" s="54">
        <f>BN38*(1+BO37+'Сценарии'!D$25)</f>
        <v/>
      </c>
      <c r="BP38" s="54">
        <f>BO38*(1+BP37+'Сценарии'!E$25)</f>
        <v/>
      </c>
      <c r="BQ38" s="54">
        <f>BP38*(1+BQ37+'Сценарии'!F$25)</f>
        <v/>
      </c>
      <c r="BR38" s="54">
        <f>BQ38*(1+BR37+'Сценарии'!G$25)</f>
        <v/>
      </c>
    </row>
    <row r="39">
      <c r="A39" s="51" t="inlineStr">
        <is>
          <t xml:space="preserve">    Цена (мес)</t>
        </is>
      </c>
      <c r="B39" s="52" t="inlineStr">
        <is>
          <t>руб/ед</t>
        </is>
      </c>
      <c r="C39" s="48" t="inlineStr">
        <is>
          <t>—</t>
        </is>
      </c>
      <c r="D39" s="45" t="inlineStr"/>
      <c r="E39" s="54">
        <f>BN38</f>
        <v/>
      </c>
      <c r="F39" s="54">
        <f>BN38</f>
        <v/>
      </c>
      <c r="G39" s="54">
        <f>BN38</f>
        <v/>
      </c>
      <c r="H39" s="54">
        <f>BN38</f>
        <v/>
      </c>
      <c r="I39" s="54">
        <f>BN38</f>
        <v/>
      </c>
      <c r="J39" s="54">
        <f>BN38</f>
        <v/>
      </c>
      <c r="K39" s="54">
        <f>BN38</f>
        <v/>
      </c>
      <c r="L39" s="54">
        <f>BN38</f>
        <v/>
      </c>
      <c r="M39" s="54">
        <f>BN38</f>
        <v/>
      </c>
      <c r="N39" s="54">
        <f>BN38</f>
        <v/>
      </c>
      <c r="O39" s="54">
        <f>BN38</f>
        <v/>
      </c>
      <c r="P39" s="54">
        <f>BN38</f>
        <v/>
      </c>
      <c r="Q39" s="54">
        <f>BO38</f>
        <v/>
      </c>
      <c r="R39" s="54">
        <f>BO38</f>
        <v/>
      </c>
      <c r="S39" s="54">
        <f>BO38</f>
        <v/>
      </c>
      <c r="T39" s="54">
        <f>BO38</f>
        <v/>
      </c>
      <c r="U39" s="54">
        <f>BO38</f>
        <v/>
      </c>
      <c r="V39" s="54">
        <f>BO38</f>
        <v/>
      </c>
      <c r="W39" s="54">
        <f>BO38</f>
        <v/>
      </c>
      <c r="X39" s="54">
        <f>BO38</f>
        <v/>
      </c>
      <c r="Y39" s="54">
        <f>BO38</f>
        <v/>
      </c>
      <c r="Z39" s="54">
        <f>BO38</f>
        <v/>
      </c>
      <c r="AA39" s="54">
        <f>BO38</f>
        <v/>
      </c>
      <c r="AB39" s="54">
        <f>BO38</f>
        <v/>
      </c>
      <c r="AC39" s="54">
        <f>BP38</f>
        <v/>
      </c>
      <c r="AD39" s="54">
        <f>BP38</f>
        <v/>
      </c>
      <c r="AE39" s="54">
        <f>BP38</f>
        <v/>
      </c>
      <c r="AF39" s="54">
        <f>BP38</f>
        <v/>
      </c>
      <c r="AG39" s="54">
        <f>BP38</f>
        <v/>
      </c>
      <c r="AH39" s="54">
        <f>BP38</f>
        <v/>
      </c>
      <c r="AI39" s="54">
        <f>BP38</f>
        <v/>
      </c>
      <c r="AJ39" s="54">
        <f>BP38</f>
        <v/>
      </c>
      <c r="AK39" s="54">
        <f>BP38</f>
        <v/>
      </c>
      <c r="AL39" s="54">
        <f>BP38</f>
        <v/>
      </c>
      <c r="AM39" s="54">
        <f>BP38</f>
        <v/>
      </c>
      <c r="AN39" s="54">
        <f>BP38</f>
        <v/>
      </c>
      <c r="AO39" s="54">
        <f>BQ38</f>
        <v/>
      </c>
      <c r="AP39" s="54">
        <f>BQ38</f>
        <v/>
      </c>
      <c r="AQ39" s="54">
        <f>BQ38</f>
        <v/>
      </c>
      <c r="AR39" s="54">
        <f>BQ38</f>
        <v/>
      </c>
      <c r="AS39" s="54">
        <f>BQ38</f>
        <v/>
      </c>
      <c r="AT39" s="54">
        <f>BQ38</f>
        <v/>
      </c>
      <c r="AU39" s="54">
        <f>BQ38</f>
        <v/>
      </c>
      <c r="AV39" s="54">
        <f>BQ38</f>
        <v/>
      </c>
      <c r="AW39" s="54">
        <f>BQ38</f>
        <v/>
      </c>
      <c r="AX39" s="54">
        <f>BQ38</f>
        <v/>
      </c>
      <c r="AY39" s="54">
        <f>BQ38</f>
        <v/>
      </c>
      <c r="AZ39" s="54">
        <f>BQ38</f>
        <v/>
      </c>
      <c r="BA39" s="54">
        <f>BR38</f>
        <v/>
      </c>
      <c r="BB39" s="54">
        <f>BR38</f>
        <v/>
      </c>
      <c r="BC39" s="54">
        <f>BR38</f>
        <v/>
      </c>
      <c r="BD39" s="54">
        <f>BR38</f>
        <v/>
      </c>
      <c r="BE39" s="54">
        <f>BR38</f>
        <v/>
      </c>
      <c r="BF39" s="54">
        <f>BR38</f>
        <v/>
      </c>
      <c r="BG39" s="54">
        <f>BR38</f>
        <v/>
      </c>
      <c r="BH39" s="54">
        <f>BR38</f>
        <v/>
      </c>
      <c r="BI39" s="54">
        <f>BR38</f>
        <v/>
      </c>
      <c r="BJ39" s="54">
        <f>BR38</f>
        <v/>
      </c>
      <c r="BK39" s="54">
        <f>BR38</f>
        <v/>
      </c>
      <c r="BL39" s="54">
        <f>BR38</f>
        <v/>
      </c>
    </row>
    <row r="40"/>
    <row r="41" ht="22" customHeight="1">
      <c r="A41" s="41" t="inlineStr">
        <is>
          <t xml:space="preserve">  МАКРОЭКОНОМИЧЕСКИЕ ДОПУЩЕНИЯ (единый блок)</t>
        </is>
      </c>
    </row>
    <row r="42" ht="20" customHeight="1">
      <c r="A42" s="42" t="inlineStr">
        <is>
          <t xml:space="preserve">    Ключевая ставка ЦБ РФ, %</t>
        </is>
      </c>
      <c r="B42" s="43" t="inlineStr">
        <is>
          <t>%</t>
        </is>
      </c>
      <c r="C42" s="46" t="inlineStr">
        <is>
          <t>—</t>
        </is>
      </c>
      <c r="D42" s="42" t="inlineStr"/>
      <c r="E42" s="55" t="n">
        <v>0.1425</v>
      </c>
      <c r="F42" s="56">
        <f>E42</f>
        <v/>
      </c>
      <c r="G42" s="56">
        <f>E42</f>
        <v/>
      </c>
      <c r="H42" s="56">
        <f>E42</f>
        <v/>
      </c>
      <c r="I42" s="56">
        <f>E42</f>
        <v/>
      </c>
    </row>
    <row r="43" ht="20" customHeight="1">
      <c r="A43" s="42" t="inlineStr">
        <is>
          <t xml:space="preserve">    Кредитный спред (маржа банка), п.п.</t>
        </is>
      </c>
      <c r="B43" s="43" t="inlineStr">
        <is>
          <t>%</t>
        </is>
      </c>
      <c r="C43" s="46" t="inlineStr">
        <is>
          <t>—</t>
        </is>
      </c>
      <c r="D43" s="42" t="inlineStr"/>
      <c r="E43" s="55" t="n">
        <v>0.04</v>
      </c>
      <c r="F43" s="56">
        <f>E43</f>
        <v/>
      </c>
      <c r="G43" s="56">
        <f>E43</f>
        <v/>
      </c>
      <c r="H43" s="56">
        <f>E43</f>
        <v/>
      </c>
      <c r="I43" s="56">
        <f>E43</f>
        <v/>
      </c>
    </row>
    <row r="44" ht="20" customHeight="1">
      <c r="A44" s="57" t="inlineStr">
        <is>
          <t xml:space="preserve">    Ставка по долгу = ключевая + спред (формула)</t>
        </is>
      </c>
      <c r="B44" s="52" t="inlineStr">
        <is>
          <t>%</t>
        </is>
      </c>
      <c r="C44" s="58" t="inlineStr">
        <is>
          <t>—</t>
        </is>
      </c>
      <c r="D44" s="59" t="inlineStr"/>
      <c r="E44" s="60">
        <f>E42+E43</f>
        <v/>
      </c>
      <c r="F44" s="60">
        <f>E42+E43</f>
        <v/>
      </c>
      <c r="G44" s="60">
        <f>E42+E43</f>
        <v/>
      </c>
      <c r="H44" s="60">
        <f>E42+E43</f>
        <v/>
      </c>
      <c r="I44" s="60">
        <f>E42+E43</f>
        <v/>
      </c>
    </row>
    <row r="45" ht="20" customHeight="1">
      <c r="A45" s="42" t="inlineStr">
        <is>
          <t xml:space="preserve">    Инфляция потребительская (ИПЦ), %/год</t>
        </is>
      </c>
      <c r="B45" s="43" t="inlineStr">
        <is>
          <t>%</t>
        </is>
      </c>
      <c r="C45" s="46" t="inlineStr">
        <is>
          <t>—</t>
        </is>
      </c>
      <c r="D45" s="42" t="inlineStr"/>
      <c r="E45" s="55" t="n">
        <v>0.07000000000000001</v>
      </c>
      <c r="F45" s="56">
        <f>E45</f>
        <v/>
      </c>
      <c r="G45" s="56">
        <f>E45</f>
        <v/>
      </c>
      <c r="H45" s="56">
        <f>E45</f>
        <v/>
      </c>
      <c r="I45" s="56">
        <f>E45</f>
        <v/>
      </c>
    </row>
    <row r="46" ht="20" customHeight="1">
      <c r="A46" s="42" t="inlineStr">
        <is>
          <t xml:space="preserve">    Инфляция ФОТ, %/год</t>
        </is>
      </c>
      <c r="B46" s="43" t="inlineStr">
        <is>
          <t>%</t>
        </is>
      </c>
      <c r="C46" s="46" t="inlineStr">
        <is>
          <t>—</t>
        </is>
      </c>
      <c r="D46" s="42" t="inlineStr"/>
      <c r="E46" s="55" t="n">
        <v>0.1</v>
      </c>
      <c r="F46" s="56">
        <f>E46</f>
        <v/>
      </c>
      <c r="G46" s="56">
        <f>E46</f>
        <v/>
      </c>
      <c r="H46" s="56">
        <f>E46</f>
        <v/>
      </c>
      <c r="I46" s="56">
        <f>E46</f>
        <v/>
      </c>
    </row>
    <row r="47" ht="20" customHeight="1">
      <c r="A47" s="42" t="inlineStr">
        <is>
          <t xml:space="preserve">    Индексация аренды, %/год</t>
        </is>
      </c>
      <c r="B47" s="43" t="inlineStr">
        <is>
          <t>%</t>
        </is>
      </c>
      <c r="C47" s="46" t="inlineStr">
        <is>
          <t>—</t>
        </is>
      </c>
      <c r="D47" s="42" t="inlineStr"/>
      <c r="E47" s="55" t="n">
        <v>0.07000000000000001</v>
      </c>
      <c r="F47" s="56">
        <f>E47</f>
        <v/>
      </c>
      <c r="G47" s="56">
        <f>E47</f>
        <v/>
      </c>
      <c r="H47" s="56">
        <f>E47</f>
        <v/>
      </c>
      <c r="I47" s="56">
        <f>E47</f>
        <v/>
      </c>
    </row>
    <row r="48" ht="20" customHeight="1">
      <c r="A48" s="42" t="inlineStr">
        <is>
          <t xml:space="preserve">    WACC (ставка дисконтирования), %</t>
        </is>
      </c>
      <c r="B48" s="43" t="inlineStr">
        <is>
          <t>%</t>
        </is>
      </c>
      <c r="C48" s="46" t="inlineStr">
        <is>
          <t>—</t>
        </is>
      </c>
      <c r="D48" s="42" t="inlineStr"/>
      <c r="E48" s="55" t="n">
        <v>0.23</v>
      </c>
      <c r="F48" s="56">
        <f>E48</f>
        <v/>
      </c>
      <c r="G48" s="56">
        <f>E48</f>
        <v/>
      </c>
      <c r="H48" s="56">
        <f>E48</f>
        <v/>
      </c>
      <c r="I48" s="56">
        <f>E48</f>
        <v/>
      </c>
    </row>
    <row r="49" ht="20" customHeight="1">
      <c r="A49" s="42" t="inlineStr">
        <is>
          <t xml:space="preserve">    Терминальный рост g, %</t>
        </is>
      </c>
      <c r="B49" s="43" t="inlineStr">
        <is>
          <t>%</t>
        </is>
      </c>
      <c r="C49" s="46" t="inlineStr">
        <is>
          <t>—</t>
        </is>
      </c>
      <c r="D49" s="42" t="inlineStr"/>
      <c r="E49" s="55" t="n">
        <v>0.03</v>
      </c>
      <c r="F49" s="56">
        <f>E49</f>
        <v/>
      </c>
      <c r="G49" s="56">
        <f>E49</f>
        <v/>
      </c>
      <c r="H49" s="56">
        <f>E49</f>
        <v/>
      </c>
      <c r="I49" s="56">
        <f>E49</f>
        <v/>
      </c>
    </row>
    <row r="50"/>
    <row r="51" ht="22" customHeight="1">
      <c r="A51" s="41" t="inlineStr">
        <is>
          <t xml:space="preserve">  СЕБЕСТОИМОСТЬ (COGS) — ДОПУЩЕНИЯ</t>
        </is>
      </c>
    </row>
    <row r="52">
      <c r="A52" s="42" t="inlineStr">
        <is>
          <t xml:space="preserve">    Бар/кухня: продукты и напитки (30% выручки бара)</t>
        </is>
      </c>
      <c r="B52" s="43" t="inlineStr">
        <is>
          <t>% выручки</t>
        </is>
      </c>
      <c r="C52" s="48" t="inlineStr">
        <is>
          <t>—</t>
        </is>
      </c>
      <c r="D52" s="45" t="inlineStr"/>
      <c r="E52" s="46" t="inlineStr">
        <is>
          <t>·</t>
        </is>
      </c>
      <c r="F52" s="46" t="inlineStr">
        <is>
          <t>·</t>
        </is>
      </c>
      <c r="G52" s="46" t="inlineStr">
        <is>
          <t>·</t>
        </is>
      </c>
      <c r="H52" s="46" t="inlineStr">
        <is>
          <t>·</t>
        </is>
      </c>
      <c r="I52" s="46" t="inlineStr">
        <is>
          <t>·</t>
        </is>
      </c>
      <c r="J52" s="46" t="inlineStr">
        <is>
          <t>·</t>
        </is>
      </c>
      <c r="K52" s="46" t="inlineStr">
        <is>
          <t>·</t>
        </is>
      </c>
      <c r="L52" s="46" t="inlineStr">
        <is>
          <t>·</t>
        </is>
      </c>
      <c r="M52" s="46" t="inlineStr">
        <is>
          <t>·</t>
        </is>
      </c>
      <c r="N52" s="46" t="inlineStr">
        <is>
          <t>·</t>
        </is>
      </c>
      <c r="O52" s="46" t="inlineStr">
        <is>
          <t>·</t>
        </is>
      </c>
      <c r="P52" s="46" t="inlineStr">
        <is>
          <t>·</t>
        </is>
      </c>
      <c r="Q52" s="46" t="inlineStr">
        <is>
          <t>·</t>
        </is>
      </c>
      <c r="R52" s="46" t="inlineStr">
        <is>
          <t>·</t>
        </is>
      </c>
      <c r="S52" s="46" t="inlineStr">
        <is>
          <t>·</t>
        </is>
      </c>
      <c r="T52" s="46" t="inlineStr">
        <is>
          <t>·</t>
        </is>
      </c>
      <c r="U52" s="46" t="inlineStr">
        <is>
          <t>·</t>
        </is>
      </c>
      <c r="V52" s="46" t="inlineStr">
        <is>
          <t>·</t>
        </is>
      </c>
      <c r="W52" s="46" t="inlineStr">
        <is>
          <t>·</t>
        </is>
      </c>
      <c r="X52" s="46" t="inlineStr">
        <is>
          <t>·</t>
        </is>
      </c>
      <c r="Y52" s="46" t="inlineStr">
        <is>
          <t>·</t>
        </is>
      </c>
      <c r="Z52" s="46" t="inlineStr">
        <is>
          <t>·</t>
        </is>
      </c>
      <c r="AA52" s="46" t="inlineStr">
        <is>
          <t>·</t>
        </is>
      </c>
      <c r="AB52" s="46" t="inlineStr">
        <is>
          <t>·</t>
        </is>
      </c>
      <c r="AC52" s="46" t="inlineStr">
        <is>
          <t>·</t>
        </is>
      </c>
      <c r="AD52" s="46" t="inlineStr">
        <is>
          <t>·</t>
        </is>
      </c>
      <c r="AE52" s="46" t="inlineStr">
        <is>
          <t>·</t>
        </is>
      </c>
      <c r="AF52" s="46" t="inlineStr">
        <is>
          <t>·</t>
        </is>
      </c>
      <c r="AG52" s="46" t="inlineStr">
        <is>
          <t>·</t>
        </is>
      </c>
      <c r="AH52" s="46" t="inlineStr">
        <is>
          <t>·</t>
        </is>
      </c>
      <c r="AI52" s="46" t="inlineStr">
        <is>
          <t>·</t>
        </is>
      </c>
      <c r="AJ52" s="46" t="inlineStr">
        <is>
          <t>·</t>
        </is>
      </c>
      <c r="AK52" s="46" t="inlineStr">
        <is>
          <t>·</t>
        </is>
      </c>
      <c r="AL52" s="46" t="inlineStr">
        <is>
          <t>·</t>
        </is>
      </c>
      <c r="AM52" s="46" t="inlineStr">
        <is>
          <t>·</t>
        </is>
      </c>
      <c r="AN52" s="46" t="inlineStr">
        <is>
          <t>·</t>
        </is>
      </c>
      <c r="AO52" s="46" t="inlineStr">
        <is>
          <t>·</t>
        </is>
      </c>
      <c r="AP52" s="46" t="inlineStr">
        <is>
          <t>·</t>
        </is>
      </c>
      <c r="AQ52" s="46" t="inlineStr">
        <is>
          <t>·</t>
        </is>
      </c>
      <c r="AR52" s="46" t="inlineStr">
        <is>
          <t>·</t>
        </is>
      </c>
      <c r="AS52" s="46" t="inlineStr">
        <is>
          <t>·</t>
        </is>
      </c>
      <c r="AT52" s="46" t="inlineStr">
        <is>
          <t>·</t>
        </is>
      </c>
      <c r="AU52" s="46" t="inlineStr">
        <is>
          <t>·</t>
        </is>
      </c>
      <c r="AV52" s="46" t="inlineStr">
        <is>
          <t>·</t>
        </is>
      </c>
      <c r="AW52" s="46" t="inlineStr">
        <is>
          <t>·</t>
        </is>
      </c>
      <c r="AX52" s="46" t="inlineStr">
        <is>
          <t>·</t>
        </is>
      </c>
      <c r="AY52" s="46" t="inlineStr">
        <is>
          <t>·</t>
        </is>
      </c>
      <c r="AZ52" s="46" t="inlineStr">
        <is>
          <t>·</t>
        </is>
      </c>
      <c r="BA52" s="46" t="inlineStr">
        <is>
          <t>·</t>
        </is>
      </c>
      <c r="BB52" s="46" t="inlineStr">
        <is>
          <t>·</t>
        </is>
      </c>
      <c r="BC52" s="46" t="inlineStr">
        <is>
          <t>·</t>
        </is>
      </c>
      <c r="BD52" s="46" t="inlineStr">
        <is>
          <t>·</t>
        </is>
      </c>
      <c r="BE52" s="46" t="inlineStr">
        <is>
          <t>·</t>
        </is>
      </c>
      <c r="BF52" s="46" t="inlineStr">
        <is>
          <t>·</t>
        </is>
      </c>
      <c r="BG52" s="46" t="inlineStr">
        <is>
          <t>·</t>
        </is>
      </c>
      <c r="BH52" s="46" t="inlineStr">
        <is>
          <t>·</t>
        </is>
      </c>
      <c r="BI52" s="46" t="inlineStr">
        <is>
          <t>·</t>
        </is>
      </c>
      <c r="BJ52" s="46" t="inlineStr">
        <is>
          <t>·</t>
        </is>
      </c>
      <c r="BK52" s="46" t="inlineStr">
        <is>
          <t>·</t>
        </is>
      </c>
      <c r="BL52" s="46" t="inlineStr">
        <is>
          <t>·</t>
        </is>
      </c>
      <c r="BN52" s="55" t="n">
        <v>0.08599999999999999</v>
      </c>
      <c r="BO52" s="55" t="n">
        <v>0.08599999999999999</v>
      </c>
      <c r="BP52" s="55" t="n">
        <v>0.08599999999999999</v>
      </c>
      <c r="BQ52" s="55" t="n">
        <v>0.08599999999999999</v>
      </c>
      <c r="BR52" s="55" t="n">
        <v>0.08599999999999999</v>
      </c>
    </row>
    <row r="53">
      <c r="A53" s="42" t="inlineStr">
        <is>
          <t xml:space="preserve">    Retail: косметика/расходники (40% retail-выручки)</t>
        </is>
      </c>
      <c r="B53" s="43" t="inlineStr">
        <is>
          <t>% выручки</t>
        </is>
      </c>
      <c r="C53" s="48" t="inlineStr">
        <is>
          <t>—</t>
        </is>
      </c>
      <c r="D53" s="45" t="inlineStr"/>
      <c r="E53" s="46" t="inlineStr">
        <is>
          <t>·</t>
        </is>
      </c>
      <c r="F53" s="46" t="inlineStr">
        <is>
          <t>·</t>
        </is>
      </c>
      <c r="G53" s="46" t="inlineStr">
        <is>
          <t>·</t>
        </is>
      </c>
      <c r="H53" s="46" t="inlineStr">
        <is>
          <t>·</t>
        </is>
      </c>
      <c r="I53" s="46" t="inlineStr">
        <is>
          <t>·</t>
        </is>
      </c>
      <c r="J53" s="46" t="inlineStr">
        <is>
          <t>·</t>
        </is>
      </c>
      <c r="K53" s="46" t="inlineStr">
        <is>
          <t>·</t>
        </is>
      </c>
      <c r="L53" s="46" t="inlineStr">
        <is>
          <t>·</t>
        </is>
      </c>
      <c r="M53" s="46" t="inlineStr">
        <is>
          <t>·</t>
        </is>
      </c>
      <c r="N53" s="46" t="inlineStr">
        <is>
          <t>·</t>
        </is>
      </c>
      <c r="O53" s="46" t="inlineStr">
        <is>
          <t>·</t>
        </is>
      </c>
      <c r="P53" s="46" t="inlineStr">
        <is>
          <t>·</t>
        </is>
      </c>
      <c r="Q53" s="46" t="inlineStr">
        <is>
          <t>·</t>
        </is>
      </c>
      <c r="R53" s="46" t="inlineStr">
        <is>
          <t>·</t>
        </is>
      </c>
      <c r="S53" s="46" t="inlineStr">
        <is>
          <t>·</t>
        </is>
      </c>
      <c r="T53" s="46" t="inlineStr">
        <is>
          <t>·</t>
        </is>
      </c>
      <c r="U53" s="46" t="inlineStr">
        <is>
          <t>·</t>
        </is>
      </c>
      <c r="V53" s="46" t="inlineStr">
        <is>
          <t>·</t>
        </is>
      </c>
      <c r="W53" s="46" t="inlineStr">
        <is>
          <t>·</t>
        </is>
      </c>
      <c r="X53" s="46" t="inlineStr">
        <is>
          <t>·</t>
        </is>
      </c>
      <c r="Y53" s="46" t="inlineStr">
        <is>
          <t>·</t>
        </is>
      </c>
      <c r="Z53" s="46" t="inlineStr">
        <is>
          <t>·</t>
        </is>
      </c>
      <c r="AA53" s="46" t="inlineStr">
        <is>
          <t>·</t>
        </is>
      </c>
      <c r="AB53" s="46" t="inlineStr">
        <is>
          <t>·</t>
        </is>
      </c>
      <c r="AC53" s="46" t="inlineStr">
        <is>
          <t>·</t>
        </is>
      </c>
      <c r="AD53" s="46" t="inlineStr">
        <is>
          <t>·</t>
        </is>
      </c>
      <c r="AE53" s="46" t="inlineStr">
        <is>
          <t>·</t>
        </is>
      </c>
      <c r="AF53" s="46" t="inlineStr">
        <is>
          <t>·</t>
        </is>
      </c>
      <c r="AG53" s="46" t="inlineStr">
        <is>
          <t>·</t>
        </is>
      </c>
      <c r="AH53" s="46" t="inlineStr">
        <is>
          <t>·</t>
        </is>
      </c>
      <c r="AI53" s="46" t="inlineStr">
        <is>
          <t>·</t>
        </is>
      </c>
      <c r="AJ53" s="46" t="inlineStr">
        <is>
          <t>·</t>
        </is>
      </c>
      <c r="AK53" s="46" t="inlineStr">
        <is>
          <t>·</t>
        </is>
      </c>
      <c r="AL53" s="46" t="inlineStr">
        <is>
          <t>·</t>
        </is>
      </c>
      <c r="AM53" s="46" t="inlineStr">
        <is>
          <t>·</t>
        </is>
      </c>
      <c r="AN53" s="46" t="inlineStr">
        <is>
          <t>·</t>
        </is>
      </c>
      <c r="AO53" s="46" t="inlineStr">
        <is>
          <t>·</t>
        </is>
      </c>
      <c r="AP53" s="46" t="inlineStr">
        <is>
          <t>·</t>
        </is>
      </c>
      <c r="AQ53" s="46" t="inlineStr">
        <is>
          <t>·</t>
        </is>
      </c>
      <c r="AR53" s="46" t="inlineStr">
        <is>
          <t>·</t>
        </is>
      </c>
      <c r="AS53" s="46" t="inlineStr">
        <is>
          <t>·</t>
        </is>
      </c>
      <c r="AT53" s="46" t="inlineStr">
        <is>
          <t>·</t>
        </is>
      </c>
      <c r="AU53" s="46" t="inlineStr">
        <is>
          <t>·</t>
        </is>
      </c>
      <c r="AV53" s="46" t="inlineStr">
        <is>
          <t>·</t>
        </is>
      </c>
      <c r="AW53" s="46" t="inlineStr">
        <is>
          <t>·</t>
        </is>
      </c>
      <c r="AX53" s="46" t="inlineStr">
        <is>
          <t>·</t>
        </is>
      </c>
      <c r="AY53" s="46" t="inlineStr">
        <is>
          <t>·</t>
        </is>
      </c>
      <c r="AZ53" s="46" t="inlineStr">
        <is>
          <t>·</t>
        </is>
      </c>
      <c r="BA53" s="46" t="inlineStr">
        <is>
          <t>·</t>
        </is>
      </c>
      <c r="BB53" s="46" t="inlineStr">
        <is>
          <t>·</t>
        </is>
      </c>
      <c r="BC53" s="46" t="inlineStr">
        <is>
          <t>·</t>
        </is>
      </c>
      <c r="BD53" s="46" t="inlineStr">
        <is>
          <t>·</t>
        </is>
      </c>
      <c r="BE53" s="46" t="inlineStr">
        <is>
          <t>·</t>
        </is>
      </c>
      <c r="BF53" s="46" t="inlineStr">
        <is>
          <t>·</t>
        </is>
      </c>
      <c r="BG53" s="46" t="inlineStr">
        <is>
          <t>·</t>
        </is>
      </c>
      <c r="BH53" s="46" t="inlineStr">
        <is>
          <t>·</t>
        </is>
      </c>
      <c r="BI53" s="46" t="inlineStr">
        <is>
          <t>·</t>
        </is>
      </c>
      <c r="BJ53" s="46" t="inlineStr">
        <is>
          <t>·</t>
        </is>
      </c>
      <c r="BK53" s="46" t="inlineStr">
        <is>
          <t>·</t>
        </is>
      </c>
      <c r="BL53" s="46" t="inlineStr">
        <is>
          <t>·</t>
        </is>
      </c>
      <c r="BN53" s="55" t="n">
        <v>0.025</v>
      </c>
      <c r="BO53" s="55" t="n">
        <v>0.025</v>
      </c>
      <c r="BP53" s="55" t="n">
        <v>0.025</v>
      </c>
      <c r="BQ53" s="55" t="n">
        <v>0.025</v>
      </c>
      <c r="BR53" s="55" t="n">
        <v>0.025</v>
      </c>
    </row>
    <row r="54">
      <c r="A54" s="42" t="inlineStr">
        <is>
          <t xml:space="preserve">    Банные расходники: веники, масла, текстиль (3% услуг)</t>
        </is>
      </c>
      <c r="B54" s="43" t="inlineStr">
        <is>
          <t>% выручки</t>
        </is>
      </c>
      <c r="C54" s="48" t="inlineStr">
        <is>
          <t>—</t>
        </is>
      </c>
      <c r="D54" s="45" t="inlineStr"/>
      <c r="E54" s="46" t="inlineStr">
        <is>
          <t>·</t>
        </is>
      </c>
      <c r="F54" s="46" t="inlineStr">
        <is>
          <t>·</t>
        </is>
      </c>
      <c r="G54" s="46" t="inlineStr">
        <is>
          <t>·</t>
        </is>
      </c>
      <c r="H54" s="46" t="inlineStr">
        <is>
          <t>·</t>
        </is>
      </c>
      <c r="I54" s="46" t="inlineStr">
        <is>
          <t>·</t>
        </is>
      </c>
      <c r="J54" s="46" t="inlineStr">
        <is>
          <t>·</t>
        </is>
      </c>
      <c r="K54" s="46" t="inlineStr">
        <is>
          <t>·</t>
        </is>
      </c>
      <c r="L54" s="46" t="inlineStr">
        <is>
          <t>·</t>
        </is>
      </c>
      <c r="M54" s="46" t="inlineStr">
        <is>
          <t>·</t>
        </is>
      </c>
      <c r="N54" s="46" t="inlineStr">
        <is>
          <t>·</t>
        </is>
      </c>
      <c r="O54" s="46" t="inlineStr">
        <is>
          <t>·</t>
        </is>
      </c>
      <c r="P54" s="46" t="inlineStr">
        <is>
          <t>·</t>
        </is>
      </c>
      <c r="Q54" s="46" t="inlineStr">
        <is>
          <t>·</t>
        </is>
      </c>
      <c r="R54" s="46" t="inlineStr">
        <is>
          <t>·</t>
        </is>
      </c>
      <c r="S54" s="46" t="inlineStr">
        <is>
          <t>·</t>
        </is>
      </c>
      <c r="T54" s="46" t="inlineStr">
        <is>
          <t>·</t>
        </is>
      </c>
      <c r="U54" s="46" t="inlineStr">
        <is>
          <t>·</t>
        </is>
      </c>
      <c r="V54" s="46" t="inlineStr">
        <is>
          <t>·</t>
        </is>
      </c>
      <c r="W54" s="46" t="inlineStr">
        <is>
          <t>·</t>
        </is>
      </c>
      <c r="X54" s="46" t="inlineStr">
        <is>
          <t>·</t>
        </is>
      </c>
      <c r="Y54" s="46" t="inlineStr">
        <is>
          <t>·</t>
        </is>
      </c>
      <c r="Z54" s="46" t="inlineStr">
        <is>
          <t>·</t>
        </is>
      </c>
      <c r="AA54" s="46" t="inlineStr">
        <is>
          <t>·</t>
        </is>
      </c>
      <c r="AB54" s="46" t="inlineStr">
        <is>
          <t>·</t>
        </is>
      </c>
      <c r="AC54" s="46" t="inlineStr">
        <is>
          <t>·</t>
        </is>
      </c>
      <c r="AD54" s="46" t="inlineStr">
        <is>
          <t>·</t>
        </is>
      </c>
      <c r="AE54" s="46" t="inlineStr">
        <is>
          <t>·</t>
        </is>
      </c>
      <c r="AF54" s="46" t="inlineStr">
        <is>
          <t>·</t>
        </is>
      </c>
      <c r="AG54" s="46" t="inlineStr">
        <is>
          <t>·</t>
        </is>
      </c>
      <c r="AH54" s="46" t="inlineStr">
        <is>
          <t>·</t>
        </is>
      </c>
      <c r="AI54" s="46" t="inlineStr">
        <is>
          <t>·</t>
        </is>
      </c>
      <c r="AJ54" s="46" t="inlineStr">
        <is>
          <t>·</t>
        </is>
      </c>
      <c r="AK54" s="46" t="inlineStr">
        <is>
          <t>·</t>
        </is>
      </c>
      <c r="AL54" s="46" t="inlineStr">
        <is>
          <t>·</t>
        </is>
      </c>
      <c r="AM54" s="46" t="inlineStr">
        <is>
          <t>·</t>
        </is>
      </c>
      <c r="AN54" s="46" t="inlineStr">
        <is>
          <t>·</t>
        </is>
      </c>
      <c r="AO54" s="46" t="inlineStr">
        <is>
          <t>·</t>
        </is>
      </c>
      <c r="AP54" s="46" t="inlineStr">
        <is>
          <t>·</t>
        </is>
      </c>
      <c r="AQ54" s="46" t="inlineStr">
        <is>
          <t>·</t>
        </is>
      </c>
      <c r="AR54" s="46" t="inlineStr">
        <is>
          <t>·</t>
        </is>
      </c>
      <c r="AS54" s="46" t="inlineStr">
        <is>
          <t>·</t>
        </is>
      </c>
      <c r="AT54" s="46" t="inlineStr">
        <is>
          <t>·</t>
        </is>
      </c>
      <c r="AU54" s="46" t="inlineStr">
        <is>
          <t>·</t>
        </is>
      </c>
      <c r="AV54" s="46" t="inlineStr">
        <is>
          <t>·</t>
        </is>
      </c>
      <c r="AW54" s="46" t="inlineStr">
        <is>
          <t>·</t>
        </is>
      </c>
      <c r="AX54" s="46" t="inlineStr">
        <is>
          <t>·</t>
        </is>
      </c>
      <c r="AY54" s="46" t="inlineStr">
        <is>
          <t>·</t>
        </is>
      </c>
      <c r="AZ54" s="46" t="inlineStr">
        <is>
          <t>·</t>
        </is>
      </c>
      <c r="BA54" s="46" t="inlineStr">
        <is>
          <t>·</t>
        </is>
      </c>
      <c r="BB54" s="46" t="inlineStr">
        <is>
          <t>·</t>
        </is>
      </c>
      <c r="BC54" s="46" t="inlineStr">
        <is>
          <t>·</t>
        </is>
      </c>
      <c r="BD54" s="46" t="inlineStr">
        <is>
          <t>·</t>
        </is>
      </c>
      <c r="BE54" s="46" t="inlineStr">
        <is>
          <t>·</t>
        </is>
      </c>
      <c r="BF54" s="46" t="inlineStr">
        <is>
          <t>·</t>
        </is>
      </c>
      <c r="BG54" s="46" t="inlineStr">
        <is>
          <t>·</t>
        </is>
      </c>
      <c r="BH54" s="46" t="inlineStr">
        <is>
          <t>·</t>
        </is>
      </c>
      <c r="BI54" s="46" t="inlineStr">
        <is>
          <t>·</t>
        </is>
      </c>
      <c r="BJ54" s="46" t="inlineStr">
        <is>
          <t>·</t>
        </is>
      </c>
      <c r="BK54" s="46" t="inlineStr">
        <is>
          <t>·</t>
        </is>
      </c>
      <c r="BL54" s="46" t="inlineStr">
        <is>
          <t>·</t>
        </is>
      </c>
      <c r="BN54" s="55" t="n">
        <v>0.019</v>
      </c>
      <c r="BO54" s="55" t="n">
        <v>0.019</v>
      </c>
      <c r="BP54" s="55" t="n">
        <v>0.019</v>
      </c>
      <c r="BQ54" s="55" t="n">
        <v>0.019</v>
      </c>
      <c r="BR54" s="55" t="n">
        <v>0.019</v>
      </c>
    </row>
    <row r="55">
      <c r="A55" s="42" t="inlineStr">
        <is>
          <t xml:space="preserve">    Эквайринг (85% оплат картами × 2.5%)</t>
        </is>
      </c>
      <c r="B55" s="43" t="inlineStr">
        <is>
          <t>% выручки</t>
        </is>
      </c>
      <c r="C55" s="48" t="inlineStr">
        <is>
          <t>—</t>
        </is>
      </c>
      <c r="D55" s="45" t="inlineStr"/>
      <c r="E55" s="46" t="inlineStr">
        <is>
          <t>·</t>
        </is>
      </c>
      <c r="F55" s="46" t="inlineStr">
        <is>
          <t>·</t>
        </is>
      </c>
      <c r="G55" s="46" t="inlineStr">
        <is>
          <t>·</t>
        </is>
      </c>
      <c r="H55" s="46" t="inlineStr">
        <is>
          <t>·</t>
        </is>
      </c>
      <c r="I55" s="46" t="inlineStr">
        <is>
          <t>·</t>
        </is>
      </c>
      <c r="J55" s="46" t="inlineStr">
        <is>
          <t>·</t>
        </is>
      </c>
      <c r="K55" s="46" t="inlineStr">
        <is>
          <t>·</t>
        </is>
      </c>
      <c r="L55" s="46" t="inlineStr">
        <is>
          <t>·</t>
        </is>
      </c>
      <c r="M55" s="46" t="inlineStr">
        <is>
          <t>·</t>
        </is>
      </c>
      <c r="N55" s="46" t="inlineStr">
        <is>
          <t>·</t>
        </is>
      </c>
      <c r="O55" s="46" t="inlineStr">
        <is>
          <t>·</t>
        </is>
      </c>
      <c r="P55" s="46" t="inlineStr">
        <is>
          <t>·</t>
        </is>
      </c>
      <c r="Q55" s="46" t="inlineStr">
        <is>
          <t>·</t>
        </is>
      </c>
      <c r="R55" s="46" t="inlineStr">
        <is>
          <t>·</t>
        </is>
      </c>
      <c r="S55" s="46" t="inlineStr">
        <is>
          <t>·</t>
        </is>
      </c>
      <c r="T55" s="46" t="inlineStr">
        <is>
          <t>·</t>
        </is>
      </c>
      <c r="U55" s="46" t="inlineStr">
        <is>
          <t>·</t>
        </is>
      </c>
      <c r="V55" s="46" t="inlineStr">
        <is>
          <t>·</t>
        </is>
      </c>
      <c r="W55" s="46" t="inlineStr">
        <is>
          <t>·</t>
        </is>
      </c>
      <c r="X55" s="46" t="inlineStr">
        <is>
          <t>·</t>
        </is>
      </c>
      <c r="Y55" s="46" t="inlineStr">
        <is>
          <t>·</t>
        </is>
      </c>
      <c r="Z55" s="46" t="inlineStr">
        <is>
          <t>·</t>
        </is>
      </c>
      <c r="AA55" s="46" t="inlineStr">
        <is>
          <t>·</t>
        </is>
      </c>
      <c r="AB55" s="46" t="inlineStr">
        <is>
          <t>·</t>
        </is>
      </c>
      <c r="AC55" s="46" t="inlineStr">
        <is>
          <t>·</t>
        </is>
      </c>
      <c r="AD55" s="46" t="inlineStr">
        <is>
          <t>·</t>
        </is>
      </c>
      <c r="AE55" s="46" t="inlineStr">
        <is>
          <t>·</t>
        </is>
      </c>
      <c r="AF55" s="46" t="inlineStr">
        <is>
          <t>·</t>
        </is>
      </c>
      <c r="AG55" s="46" t="inlineStr">
        <is>
          <t>·</t>
        </is>
      </c>
      <c r="AH55" s="46" t="inlineStr">
        <is>
          <t>·</t>
        </is>
      </c>
      <c r="AI55" s="46" t="inlineStr">
        <is>
          <t>·</t>
        </is>
      </c>
      <c r="AJ55" s="46" t="inlineStr">
        <is>
          <t>·</t>
        </is>
      </c>
      <c r="AK55" s="46" t="inlineStr">
        <is>
          <t>·</t>
        </is>
      </c>
      <c r="AL55" s="46" t="inlineStr">
        <is>
          <t>·</t>
        </is>
      </c>
      <c r="AM55" s="46" t="inlineStr">
        <is>
          <t>·</t>
        </is>
      </c>
      <c r="AN55" s="46" t="inlineStr">
        <is>
          <t>·</t>
        </is>
      </c>
      <c r="AO55" s="46" t="inlineStr">
        <is>
          <t>·</t>
        </is>
      </c>
      <c r="AP55" s="46" t="inlineStr">
        <is>
          <t>·</t>
        </is>
      </c>
      <c r="AQ55" s="46" t="inlineStr">
        <is>
          <t>·</t>
        </is>
      </c>
      <c r="AR55" s="46" t="inlineStr">
        <is>
          <t>·</t>
        </is>
      </c>
      <c r="AS55" s="46" t="inlineStr">
        <is>
          <t>·</t>
        </is>
      </c>
      <c r="AT55" s="46" t="inlineStr">
        <is>
          <t>·</t>
        </is>
      </c>
      <c r="AU55" s="46" t="inlineStr">
        <is>
          <t>·</t>
        </is>
      </c>
      <c r="AV55" s="46" t="inlineStr">
        <is>
          <t>·</t>
        </is>
      </c>
      <c r="AW55" s="46" t="inlineStr">
        <is>
          <t>·</t>
        </is>
      </c>
      <c r="AX55" s="46" t="inlineStr">
        <is>
          <t>·</t>
        </is>
      </c>
      <c r="AY55" s="46" t="inlineStr">
        <is>
          <t>·</t>
        </is>
      </c>
      <c r="AZ55" s="46" t="inlineStr">
        <is>
          <t>·</t>
        </is>
      </c>
      <c r="BA55" s="46" t="inlineStr">
        <is>
          <t>·</t>
        </is>
      </c>
      <c r="BB55" s="46" t="inlineStr">
        <is>
          <t>·</t>
        </is>
      </c>
      <c r="BC55" s="46" t="inlineStr">
        <is>
          <t>·</t>
        </is>
      </c>
      <c r="BD55" s="46" t="inlineStr">
        <is>
          <t>·</t>
        </is>
      </c>
      <c r="BE55" s="46" t="inlineStr">
        <is>
          <t>·</t>
        </is>
      </c>
      <c r="BF55" s="46" t="inlineStr">
        <is>
          <t>·</t>
        </is>
      </c>
      <c r="BG55" s="46" t="inlineStr">
        <is>
          <t>·</t>
        </is>
      </c>
      <c r="BH55" s="46" t="inlineStr">
        <is>
          <t>·</t>
        </is>
      </c>
      <c r="BI55" s="46" t="inlineStr">
        <is>
          <t>·</t>
        </is>
      </c>
      <c r="BJ55" s="46" t="inlineStr">
        <is>
          <t>·</t>
        </is>
      </c>
      <c r="BK55" s="46" t="inlineStr">
        <is>
          <t>·</t>
        </is>
      </c>
      <c r="BL55" s="46" t="inlineStr">
        <is>
          <t>·</t>
        </is>
      </c>
      <c r="BN55" s="55" t="n">
        <v>0.021</v>
      </c>
      <c r="BO55" s="55" t="n">
        <v>0.021</v>
      </c>
      <c r="BP55" s="55" t="n">
        <v>0.021</v>
      </c>
      <c r="BQ55" s="55" t="n">
        <v>0.021</v>
      </c>
      <c r="BR55" s="55" t="n">
        <v>0.021</v>
      </c>
    </row>
    <row r="56">
      <c r="A56" s="42" t="inlineStr">
        <is>
          <t xml:space="preserve">    Коммунальные ресурсы: печи/вода/отопление (прямые)</t>
        </is>
      </c>
      <c r="B56" s="43" t="inlineStr">
        <is>
          <t>% выручки</t>
        </is>
      </c>
      <c r="C56" s="48" t="inlineStr">
        <is>
          <t>—</t>
        </is>
      </c>
      <c r="D56" s="45" t="inlineStr"/>
      <c r="E56" s="46" t="inlineStr">
        <is>
          <t>·</t>
        </is>
      </c>
      <c r="F56" s="46" t="inlineStr">
        <is>
          <t>·</t>
        </is>
      </c>
      <c r="G56" s="46" t="inlineStr">
        <is>
          <t>·</t>
        </is>
      </c>
      <c r="H56" s="46" t="inlineStr">
        <is>
          <t>·</t>
        </is>
      </c>
      <c r="I56" s="46" t="inlineStr">
        <is>
          <t>·</t>
        </is>
      </c>
      <c r="J56" s="46" t="inlineStr">
        <is>
          <t>·</t>
        </is>
      </c>
      <c r="K56" s="46" t="inlineStr">
        <is>
          <t>·</t>
        </is>
      </c>
      <c r="L56" s="46" t="inlineStr">
        <is>
          <t>·</t>
        </is>
      </c>
      <c r="M56" s="46" t="inlineStr">
        <is>
          <t>·</t>
        </is>
      </c>
      <c r="N56" s="46" t="inlineStr">
        <is>
          <t>·</t>
        </is>
      </c>
      <c r="O56" s="46" t="inlineStr">
        <is>
          <t>·</t>
        </is>
      </c>
      <c r="P56" s="46" t="inlineStr">
        <is>
          <t>·</t>
        </is>
      </c>
      <c r="Q56" s="46" t="inlineStr">
        <is>
          <t>·</t>
        </is>
      </c>
      <c r="R56" s="46" t="inlineStr">
        <is>
          <t>·</t>
        </is>
      </c>
      <c r="S56" s="46" t="inlineStr">
        <is>
          <t>·</t>
        </is>
      </c>
      <c r="T56" s="46" t="inlineStr">
        <is>
          <t>·</t>
        </is>
      </c>
      <c r="U56" s="46" t="inlineStr">
        <is>
          <t>·</t>
        </is>
      </c>
      <c r="V56" s="46" t="inlineStr">
        <is>
          <t>·</t>
        </is>
      </c>
      <c r="W56" s="46" t="inlineStr">
        <is>
          <t>·</t>
        </is>
      </c>
      <c r="X56" s="46" t="inlineStr">
        <is>
          <t>·</t>
        </is>
      </c>
      <c r="Y56" s="46" t="inlineStr">
        <is>
          <t>·</t>
        </is>
      </c>
      <c r="Z56" s="46" t="inlineStr">
        <is>
          <t>·</t>
        </is>
      </c>
      <c r="AA56" s="46" t="inlineStr">
        <is>
          <t>·</t>
        </is>
      </c>
      <c r="AB56" s="46" t="inlineStr">
        <is>
          <t>·</t>
        </is>
      </c>
      <c r="AC56" s="46" t="inlineStr">
        <is>
          <t>·</t>
        </is>
      </c>
      <c r="AD56" s="46" t="inlineStr">
        <is>
          <t>·</t>
        </is>
      </c>
      <c r="AE56" s="46" t="inlineStr">
        <is>
          <t>·</t>
        </is>
      </c>
      <c r="AF56" s="46" t="inlineStr">
        <is>
          <t>·</t>
        </is>
      </c>
      <c r="AG56" s="46" t="inlineStr">
        <is>
          <t>·</t>
        </is>
      </c>
      <c r="AH56" s="46" t="inlineStr">
        <is>
          <t>·</t>
        </is>
      </c>
      <c r="AI56" s="46" t="inlineStr">
        <is>
          <t>·</t>
        </is>
      </c>
      <c r="AJ56" s="46" t="inlineStr">
        <is>
          <t>·</t>
        </is>
      </c>
      <c r="AK56" s="46" t="inlineStr">
        <is>
          <t>·</t>
        </is>
      </c>
      <c r="AL56" s="46" t="inlineStr">
        <is>
          <t>·</t>
        </is>
      </c>
      <c r="AM56" s="46" t="inlineStr">
        <is>
          <t>·</t>
        </is>
      </c>
      <c r="AN56" s="46" t="inlineStr">
        <is>
          <t>·</t>
        </is>
      </c>
      <c r="AO56" s="46" t="inlineStr">
        <is>
          <t>·</t>
        </is>
      </c>
      <c r="AP56" s="46" t="inlineStr">
        <is>
          <t>·</t>
        </is>
      </c>
      <c r="AQ56" s="46" t="inlineStr">
        <is>
          <t>·</t>
        </is>
      </c>
      <c r="AR56" s="46" t="inlineStr">
        <is>
          <t>·</t>
        </is>
      </c>
      <c r="AS56" s="46" t="inlineStr">
        <is>
          <t>·</t>
        </is>
      </c>
      <c r="AT56" s="46" t="inlineStr">
        <is>
          <t>·</t>
        </is>
      </c>
      <c r="AU56" s="46" t="inlineStr">
        <is>
          <t>·</t>
        </is>
      </c>
      <c r="AV56" s="46" t="inlineStr">
        <is>
          <t>·</t>
        </is>
      </c>
      <c r="AW56" s="46" t="inlineStr">
        <is>
          <t>·</t>
        </is>
      </c>
      <c r="AX56" s="46" t="inlineStr">
        <is>
          <t>·</t>
        </is>
      </c>
      <c r="AY56" s="46" t="inlineStr">
        <is>
          <t>·</t>
        </is>
      </c>
      <c r="AZ56" s="46" t="inlineStr">
        <is>
          <t>·</t>
        </is>
      </c>
      <c r="BA56" s="46" t="inlineStr">
        <is>
          <t>·</t>
        </is>
      </c>
      <c r="BB56" s="46" t="inlineStr">
        <is>
          <t>·</t>
        </is>
      </c>
      <c r="BC56" s="46" t="inlineStr">
        <is>
          <t>·</t>
        </is>
      </c>
      <c r="BD56" s="46" t="inlineStr">
        <is>
          <t>·</t>
        </is>
      </c>
      <c r="BE56" s="46" t="inlineStr">
        <is>
          <t>·</t>
        </is>
      </c>
      <c r="BF56" s="46" t="inlineStr">
        <is>
          <t>·</t>
        </is>
      </c>
      <c r="BG56" s="46" t="inlineStr">
        <is>
          <t>·</t>
        </is>
      </c>
      <c r="BH56" s="46" t="inlineStr">
        <is>
          <t>·</t>
        </is>
      </c>
      <c r="BI56" s="46" t="inlineStr">
        <is>
          <t>·</t>
        </is>
      </c>
      <c r="BJ56" s="46" t="inlineStr">
        <is>
          <t>·</t>
        </is>
      </c>
      <c r="BK56" s="46" t="inlineStr">
        <is>
          <t>·</t>
        </is>
      </c>
      <c r="BL56" s="46" t="inlineStr">
        <is>
          <t>·</t>
        </is>
      </c>
      <c r="BN56" s="55" t="n">
        <v>0.201</v>
      </c>
      <c r="BO56" s="55" t="n">
        <v>0.075</v>
      </c>
      <c r="BP56" s="55" t="n">
        <v>0.06</v>
      </c>
      <c r="BQ56" s="55" t="n">
        <v>0.06</v>
      </c>
      <c r="BR56" s="55" t="n">
        <v>0.06</v>
      </c>
    </row>
    <row r="57">
      <c r="A57" s="42" t="inlineStr">
        <is>
          <t xml:space="preserve">    Сервис банного оборудования</t>
        </is>
      </c>
      <c r="B57" s="43" t="inlineStr">
        <is>
          <t>% выручки</t>
        </is>
      </c>
      <c r="C57" s="48" t="inlineStr">
        <is>
          <t>—</t>
        </is>
      </c>
      <c r="D57" s="45" t="inlineStr"/>
      <c r="E57" s="46" t="inlineStr">
        <is>
          <t>·</t>
        </is>
      </c>
      <c r="F57" s="46" t="inlineStr">
        <is>
          <t>·</t>
        </is>
      </c>
      <c r="G57" s="46" t="inlineStr">
        <is>
          <t>·</t>
        </is>
      </c>
      <c r="H57" s="46" t="inlineStr">
        <is>
          <t>·</t>
        </is>
      </c>
      <c r="I57" s="46" t="inlineStr">
        <is>
          <t>·</t>
        </is>
      </c>
      <c r="J57" s="46" t="inlineStr">
        <is>
          <t>·</t>
        </is>
      </c>
      <c r="K57" s="46" t="inlineStr">
        <is>
          <t>·</t>
        </is>
      </c>
      <c r="L57" s="46" t="inlineStr">
        <is>
          <t>·</t>
        </is>
      </c>
      <c r="M57" s="46" t="inlineStr">
        <is>
          <t>·</t>
        </is>
      </c>
      <c r="N57" s="46" t="inlineStr">
        <is>
          <t>·</t>
        </is>
      </c>
      <c r="O57" s="46" t="inlineStr">
        <is>
          <t>·</t>
        </is>
      </c>
      <c r="P57" s="46" t="inlineStr">
        <is>
          <t>·</t>
        </is>
      </c>
      <c r="Q57" s="46" t="inlineStr">
        <is>
          <t>·</t>
        </is>
      </c>
      <c r="R57" s="46" t="inlineStr">
        <is>
          <t>·</t>
        </is>
      </c>
      <c r="S57" s="46" t="inlineStr">
        <is>
          <t>·</t>
        </is>
      </c>
      <c r="T57" s="46" t="inlineStr">
        <is>
          <t>·</t>
        </is>
      </c>
      <c r="U57" s="46" t="inlineStr">
        <is>
          <t>·</t>
        </is>
      </c>
      <c r="V57" s="46" t="inlineStr">
        <is>
          <t>·</t>
        </is>
      </c>
      <c r="W57" s="46" t="inlineStr">
        <is>
          <t>·</t>
        </is>
      </c>
      <c r="X57" s="46" t="inlineStr">
        <is>
          <t>·</t>
        </is>
      </c>
      <c r="Y57" s="46" t="inlineStr">
        <is>
          <t>·</t>
        </is>
      </c>
      <c r="Z57" s="46" t="inlineStr">
        <is>
          <t>·</t>
        </is>
      </c>
      <c r="AA57" s="46" t="inlineStr">
        <is>
          <t>·</t>
        </is>
      </c>
      <c r="AB57" s="46" t="inlineStr">
        <is>
          <t>·</t>
        </is>
      </c>
      <c r="AC57" s="46" t="inlineStr">
        <is>
          <t>·</t>
        </is>
      </c>
      <c r="AD57" s="46" t="inlineStr">
        <is>
          <t>·</t>
        </is>
      </c>
      <c r="AE57" s="46" t="inlineStr">
        <is>
          <t>·</t>
        </is>
      </c>
      <c r="AF57" s="46" t="inlineStr">
        <is>
          <t>·</t>
        </is>
      </c>
      <c r="AG57" s="46" t="inlineStr">
        <is>
          <t>·</t>
        </is>
      </c>
      <c r="AH57" s="46" t="inlineStr">
        <is>
          <t>·</t>
        </is>
      </c>
      <c r="AI57" s="46" t="inlineStr">
        <is>
          <t>·</t>
        </is>
      </c>
      <c r="AJ57" s="46" t="inlineStr">
        <is>
          <t>·</t>
        </is>
      </c>
      <c r="AK57" s="46" t="inlineStr">
        <is>
          <t>·</t>
        </is>
      </c>
      <c r="AL57" s="46" t="inlineStr">
        <is>
          <t>·</t>
        </is>
      </c>
      <c r="AM57" s="46" t="inlineStr">
        <is>
          <t>·</t>
        </is>
      </c>
      <c r="AN57" s="46" t="inlineStr">
        <is>
          <t>·</t>
        </is>
      </c>
      <c r="AO57" s="46" t="inlineStr">
        <is>
          <t>·</t>
        </is>
      </c>
      <c r="AP57" s="46" t="inlineStr">
        <is>
          <t>·</t>
        </is>
      </c>
      <c r="AQ57" s="46" t="inlineStr">
        <is>
          <t>·</t>
        </is>
      </c>
      <c r="AR57" s="46" t="inlineStr">
        <is>
          <t>·</t>
        </is>
      </c>
      <c r="AS57" s="46" t="inlineStr">
        <is>
          <t>·</t>
        </is>
      </c>
      <c r="AT57" s="46" t="inlineStr">
        <is>
          <t>·</t>
        </is>
      </c>
      <c r="AU57" s="46" t="inlineStr">
        <is>
          <t>·</t>
        </is>
      </c>
      <c r="AV57" s="46" t="inlineStr">
        <is>
          <t>·</t>
        </is>
      </c>
      <c r="AW57" s="46" t="inlineStr">
        <is>
          <t>·</t>
        </is>
      </c>
      <c r="AX57" s="46" t="inlineStr">
        <is>
          <t>·</t>
        </is>
      </c>
      <c r="AY57" s="46" t="inlineStr">
        <is>
          <t>·</t>
        </is>
      </c>
      <c r="AZ57" s="46" t="inlineStr">
        <is>
          <t>·</t>
        </is>
      </c>
      <c r="BA57" s="46" t="inlineStr">
        <is>
          <t>·</t>
        </is>
      </c>
      <c r="BB57" s="46" t="inlineStr">
        <is>
          <t>·</t>
        </is>
      </c>
      <c r="BC57" s="46" t="inlineStr">
        <is>
          <t>·</t>
        </is>
      </c>
      <c r="BD57" s="46" t="inlineStr">
        <is>
          <t>·</t>
        </is>
      </c>
      <c r="BE57" s="46" t="inlineStr">
        <is>
          <t>·</t>
        </is>
      </c>
      <c r="BF57" s="46" t="inlineStr">
        <is>
          <t>·</t>
        </is>
      </c>
      <c r="BG57" s="46" t="inlineStr">
        <is>
          <t>·</t>
        </is>
      </c>
      <c r="BH57" s="46" t="inlineStr">
        <is>
          <t>·</t>
        </is>
      </c>
      <c r="BI57" s="46" t="inlineStr">
        <is>
          <t>·</t>
        </is>
      </c>
      <c r="BJ57" s="46" t="inlineStr">
        <is>
          <t>·</t>
        </is>
      </c>
      <c r="BK57" s="46" t="inlineStr">
        <is>
          <t>·</t>
        </is>
      </c>
      <c r="BL57" s="46" t="inlineStr">
        <is>
          <t>·</t>
        </is>
      </c>
      <c r="BN57" s="55" t="n">
        <v>0.032</v>
      </c>
      <c r="BO57" s="55" t="n">
        <v>0.024</v>
      </c>
      <c r="BP57" s="55" t="n">
        <v>0.019</v>
      </c>
      <c r="BQ57" s="55" t="n">
        <v>0.019</v>
      </c>
      <c r="BR57" s="55" t="n">
        <v>0.019</v>
      </c>
    </row>
    <row r="58"/>
    <row r="59" ht="22" customHeight="1">
      <c r="A59" s="41" t="inlineStr">
        <is>
          <t xml:space="preserve">  ОПЕРАЦИОННЫЕ РАСХОДЫ (SG&amp;A) — ДОПУЩЕНИЯ</t>
        </is>
      </c>
    </row>
    <row r="60">
      <c r="A60" s="42" t="inlineStr">
        <is>
          <t xml:space="preserve">    ФОТ + соц.взносы 32% (2-сменный штат ~50 чел)</t>
        </is>
      </c>
      <c r="B60" s="43" t="inlineStr">
        <is>
          <t>% выручки</t>
        </is>
      </c>
      <c r="C60" s="48" t="inlineStr">
        <is>
          <t>—</t>
        </is>
      </c>
      <c r="D60" s="45" t="inlineStr"/>
      <c r="E60" s="46" t="inlineStr">
        <is>
          <t>·</t>
        </is>
      </c>
      <c r="F60" s="46" t="inlineStr">
        <is>
          <t>·</t>
        </is>
      </c>
      <c r="G60" s="46" t="inlineStr">
        <is>
          <t>·</t>
        </is>
      </c>
      <c r="H60" s="46" t="inlineStr">
        <is>
          <t>·</t>
        </is>
      </c>
      <c r="I60" s="46" t="inlineStr">
        <is>
          <t>·</t>
        </is>
      </c>
      <c r="J60" s="46" t="inlineStr">
        <is>
          <t>·</t>
        </is>
      </c>
      <c r="K60" s="46" t="inlineStr">
        <is>
          <t>·</t>
        </is>
      </c>
      <c r="L60" s="46" t="inlineStr">
        <is>
          <t>·</t>
        </is>
      </c>
      <c r="M60" s="46" t="inlineStr">
        <is>
          <t>·</t>
        </is>
      </c>
      <c r="N60" s="46" t="inlineStr">
        <is>
          <t>·</t>
        </is>
      </c>
      <c r="O60" s="46" t="inlineStr">
        <is>
          <t>·</t>
        </is>
      </c>
      <c r="P60" s="46" t="inlineStr">
        <is>
          <t>·</t>
        </is>
      </c>
      <c r="Q60" s="46" t="inlineStr">
        <is>
          <t>·</t>
        </is>
      </c>
      <c r="R60" s="46" t="inlineStr">
        <is>
          <t>·</t>
        </is>
      </c>
      <c r="S60" s="46" t="inlineStr">
        <is>
          <t>·</t>
        </is>
      </c>
      <c r="T60" s="46" t="inlineStr">
        <is>
          <t>·</t>
        </is>
      </c>
      <c r="U60" s="46" t="inlineStr">
        <is>
          <t>·</t>
        </is>
      </c>
      <c r="V60" s="46" t="inlineStr">
        <is>
          <t>·</t>
        </is>
      </c>
      <c r="W60" s="46" t="inlineStr">
        <is>
          <t>·</t>
        </is>
      </c>
      <c r="X60" s="46" t="inlineStr">
        <is>
          <t>·</t>
        </is>
      </c>
      <c r="Y60" s="46" t="inlineStr">
        <is>
          <t>·</t>
        </is>
      </c>
      <c r="Z60" s="46" t="inlineStr">
        <is>
          <t>·</t>
        </is>
      </c>
      <c r="AA60" s="46" t="inlineStr">
        <is>
          <t>·</t>
        </is>
      </c>
      <c r="AB60" s="46" t="inlineStr">
        <is>
          <t>·</t>
        </is>
      </c>
      <c r="AC60" s="46" t="inlineStr">
        <is>
          <t>·</t>
        </is>
      </c>
      <c r="AD60" s="46" t="inlineStr">
        <is>
          <t>·</t>
        </is>
      </c>
      <c r="AE60" s="46" t="inlineStr">
        <is>
          <t>·</t>
        </is>
      </c>
      <c r="AF60" s="46" t="inlineStr">
        <is>
          <t>·</t>
        </is>
      </c>
      <c r="AG60" s="46" t="inlineStr">
        <is>
          <t>·</t>
        </is>
      </c>
      <c r="AH60" s="46" t="inlineStr">
        <is>
          <t>·</t>
        </is>
      </c>
      <c r="AI60" s="46" t="inlineStr">
        <is>
          <t>·</t>
        </is>
      </c>
      <c r="AJ60" s="46" t="inlineStr">
        <is>
          <t>·</t>
        </is>
      </c>
      <c r="AK60" s="46" t="inlineStr">
        <is>
          <t>·</t>
        </is>
      </c>
      <c r="AL60" s="46" t="inlineStr">
        <is>
          <t>·</t>
        </is>
      </c>
      <c r="AM60" s="46" t="inlineStr">
        <is>
          <t>·</t>
        </is>
      </c>
      <c r="AN60" s="46" t="inlineStr">
        <is>
          <t>·</t>
        </is>
      </c>
      <c r="AO60" s="46" t="inlineStr">
        <is>
          <t>·</t>
        </is>
      </c>
      <c r="AP60" s="46" t="inlineStr">
        <is>
          <t>·</t>
        </is>
      </c>
      <c r="AQ60" s="46" t="inlineStr">
        <is>
          <t>·</t>
        </is>
      </c>
      <c r="AR60" s="46" t="inlineStr">
        <is>
          <t>·</t>
        </is>
      </c>
      <c r="AS60" s="46" t="inlineStr">
        <is>
          <t>·</t>
        </is>
      </c>
      <c r="AT60" s="46" t="inlineStr">
        <is>
          <t>·</t>
        </is>
      </c>
      <c r="AU60" s="46" t="inlineStr">
        <is>
          <t>·</t>
        </is>
      </c>
      <c r="AV60" s="46" t="inlineStr">
        <is>
          <t>·</t>
        </is>
      </c>
      <c r="AW60" s="46" t="inlineStr">
        <is>
          <t>·</t>
        </is>
      </c>
      <c r="AX60" s="46" t="inlineStr">
        <is>
          <t>·</t>
        </is>
      </c>
      <c r="AY60" s="46" t="inlineStr">
        <is>
          <t>·</t>
        </is>
      </c>
      <c r="AZ60" s="46" t="inlineStr">
        <is>
          <t>·</t>
        </is>
      </c>
      <c r="BA60" s="46" t="inlineStr">
        <is>
          <t>·</t>
        </is>
      </c>
      <c r="BB60" s="46" t="inlineStr">
        <is>
          <t>·</t>
        </is>
      </c>
      <c r="BC60" s="46" t="inlineStr">
        <is>
          <t>·</t>
        </is>
      </c>
      <c r="BD60" s="46" t="inlineStr">
        <is>
          <t>·</t>
        </is>
      </c>
      <c r="BE60" s="46" t="inlineStr">
        <is>
          <t>·</t>
        </is>
      </c>
      <c r="BF60" s="46" t="inlineStr">
        <is>
          <t>·</t>
        </is>
      </c>
      <c r="BG60" s="46" t="inlineStr">
        <is>
          <t>·</t>
        </is>
      </c>
      <c r="BH60" s="46" t="inlineStr">
        <is>
          <t>·</t>
        </is>
      </c>
      <c r="BI60" s="46" t="inlineStr">
        <is>
          <t>·</t>
        </is>
      </c>
      <c r="BJ60" s="46" t="inlineStr">
        <is>
          <t>·</t>
        </is>
      </c>
      <c r="BK60" s="46" t="inlineStr">
        <is>
          <t>·</t>
        </is>
      </c>
      <c r="BL60" s="46" t="inlineStr">
        <is>
          <t>·</t>
        </is>
      </c>
      <c r="BN60" s="55" t="n">
        <v>0.348</v>
      </c>
      <c r="BO60" s="55" t="n">
        <v>0.172</v>
      </c>
      <c r="BP60" s="55" t="n">
        <v>0.137</v>
      </c>
      <c r="BQ60" s="55" t="n">
        <v>0.137</v>
      </c>
      <c r="BR60" s="55" t="n">
        <v>0.137</v>
      </c>
    </row>
    <row r="61">
      <c r="A61" s="42" t="inlineStr">
        <is>
          <t xml:space="preserve">    Аренда 1000 м² (40 тыс/м²/год, индексация 7%)</t>
        </is>
      </c>
      <c r="B61" s="43" t="inlineStr">
        <is>
          <t>% выручки</t>
        </is>
      </c>
      <c r="C61" s="48" t="inlineStr">
        <is>
          <t>—</t>
        </is>
      </c>
      <c r="D61" s="45" t="inlineStr"/>
      <c r="E61" s="46" t="inlineStr">
        <is>
          <t>·</t>
        </is>
      </c>
      <c r="F61" s="46" t="inlineStr">
        <is>
          <t>·</t>
        </is>
      </c>
      <c r="G61" s="46" t="inlineStr">
        <is>
          <t>·</t>
        </is>
      </c>
      <c r="H61" s="46" t="inlineStr">
        <is>
          <t>·</t>
        </is>
      </c>
      <c r="I61" s="46" t="inlineStr">
        <is>
          <t>·</t>
        </is>
      </c>
      <c r="J61" s="46" t="inlineStr">
        <is>
          <t>·</t>
        </is>
      </c>
      <c r="K61" s="46" t="inlineStr">
        <is>
          <t>·</t>
        </is>
      </c>
      <c r="L61" s="46" t="inlineStr">
        <is>
          <t>·</t>
        </is>
      </c>
      <c r="M61" s="46" t="inlineStr">
        <is>
          <t>·</t>
        </is>
      </c>
      <c r="N61" s="46" t="inlineStr">
        <is>
          <t>·</t>
        </is>
      </c>
      <c r="O61" s="46" t="inlineStr">
        <is>
          <t>·</t>
        </is>
      </c>
      <c r="P61" s="46" t="inlineStr">
        <is>
          <t>·</t>
        </is>
      </c>
      <c r="Q61" s="46" t="inlineStr">
        <is>
          <t>·</t>
        </is>
      </c>
      <c r="R61" s="46" t="inlineStr">
        <is>
          <t>·</t>
        </is>
      </c>
      <c r="S61" s="46" t="inlineStr">
        <is>
          <t>·</t>
        </is>
      </c>
      <c r="T61" s="46" t="inlineStr">
        <is>
          <t>·</t>
        </is>
      </c>
      <c r="U61" s="46" t="inlineStr">
        <is>
          <t>·</t>
        </is>
      </c>
      <c r="V61" s="46" t="inlineStr">
        <is>
          <t>·</t>
        </is>
      </c>
      <c r="W61" s="46" t="inlineStr">
        <is>
          <t>·</t>
        </is>
      </c>
      <c r="X61" s="46" t="inlineStr">
        <is>
          <t>·</t>
        </is>
      </c>
      <c r="Y61" s="46" t="inlineStr">
        <is>
          <t>·</t>
        </is>
      </c>
      <c r="Z61" s="46" t="inlineStr">
        <is>
          <t>·</t>
        </is>
      </c>
      <c r="AA61" s="46" t="inlineStr">
        <is>
          <t>·</t>
        </is>
      </c>
      <c r="AB61" s="46" t="inlineStr">
        <is>
          <t>·</t>
        </is>
      </c>
      <c r="AC61" s="46" t="inlineStr">
        <is>
          <t>·</t>
        </is>
      </c>
      <c r="AD61" s="46" t="inlineStr">
        <is>
          <t>·</t>
        </is>
      </c>
      <c r="AE61" s="46" t="inlineStr">
        <is>
          <t>·</t>
        </is>
      </c>
      <c r="AF61" s="46" t="inlineStr">
        <is>
          <t>·</t>
        </is>
      </c>
      <c r="AG61" s="46" t="inlineStr">
        <is>
          <t>·</t>
        </is>
      </c>
      <c r="AH61" s="46" t="inlineStr">
        <is>
          <t>·</t>
        </is>
      </c>
      <c r="AI61" s="46" t="inlineStr">
        <is>
          <t>·</t>
        </is>
      </c>
      <c r="AJ61" s="46" t="inlineStr">
        <is>
          <t>·</t>
        </is>
      </c>
      <c r="AK61" s="46" t="inlineStr">
        <is>
          <t>·</t>
        </is>
      </c>
      <c r="AL61" s="46" t="inlineStr">
        <is>
          <t>·</t>
        </is>
      </c>
      <c r="AM61" s="46" t="inlineStr">
        <is>
          <t>·</t>
        </is>
      </c>
      <c r="AN61" s="46" t="inlineStr">
        <is>
          <t>·</t>
        </is>
      </c>
      <c r="AO61" s="46" t="inlineStr">
        <is>
          <t>·</t>
        </is>
      </c>
      <c r="AP61" s="46" t="inlineStr">
        <is>
          <t>·</t>
        </is>
      </c>
      <c r="AQ61" s="46" t="inlineStr">
        <is>
          <t>·</t>
        </is>
      </c>
      <c r="AR61" s="46" t="inlineStr">
        <is>
          <t>·</t>
        </is>
      </c>
      <c r="AS61" s="46" t="inlineStr">
        <is>
          <t>·</t>
        </is>
      </c>
      <c r="AT61" s="46" t="inlineStr">
        <is>
          <t>·</t>
        </is>
      </c>
      <c r="AU61" s="46" t="inlineStr">
        <is>
          <t>·</t>
        </is>
      </c>
      <c r="AV61" s="46" t="inlineStr">
        <is>
          <t>·</t>
        </is>
      </c>
      <c r="AW61" s="46" t="inlineStr">
        <is>
          <t>·</t>
        </is>
      </c>
      <c r="AX61" s="46" t="inlineStr">
        <is>
          <t>·</t>
        </is>
      </c>
      <c r="AY61" s="46" t="inlineStr">
        <is>
          <t>·</t>
        </is>
      </c>
      <c r="AZ61" s="46" t="inlineStr">
        <is>
          <t>·</t>
        </is>
      </c>
      <c r="BA61" s="46" t="inlineStr">
        <is>
          <t>·</t>
        </is>
      </c>
      <c r="BB61" s="46" t="inlineStr">
        <is>
          <t>·</t>
        </is>
      </c>
      <c r="BC61" s="46" t="inlineStr">
        <is>
          <t>·</t>
        </is>
      </c>
      <c r="BD61" s="46" t="inlineStr">
        <is>
          <t>·</t>
        </is>
      </c>
      <c r="BE61" s="46" t="inlineStr">
        <is>
          <t>·</t>
        </is>
      </c>
      <c r="BF61" s="46" t="inlineStr">
        <is>
          <t>·</t>
        </is>
      </c>
      <c r="BG61" s="46" t="inlineStr">
        <is>
          <t>·</t>
        </is>
      </c>
      <c r="BH61" s="46" t="inlineStr">
        <is>
          <t>·</t>
        </is>
      </c>
      <c r="BI61" s="46" t="inlineStr">
        <is>
          <t>·</t>
        </is>
      </c>
      <c r="BJ61" s="46" t="inlineStr">
        <is>
          <t>·</t>
        </is>
      </c>
      <c r="BK61" s="46" t="inlineStr">
        <is>
          <t>·</t>
        </is>
      </c>
      <c r="BL61" s="46" t="inlineStr">
        <is>
          <t>·</t>
        </is>
      </c>
      <c r="BN61" s="55" t="n">
        <v>0.609</v>
      </c>
      <c r="BO61" s="55" t="n">
        <v>0.111</v>
      </c>
      <c r="BP61" s="55" t="n">
        <v>0.08599999999999999</v>
      </c>
      <c r="BQ61" s="55" t="n">
        <v>0.08400000000000001</v>
      </c>
      <c r="BR61" s="55" t="n">
        <v>0.08199999999999999</v>
      </c>
    </row>
    <row r="62">
      <c r="A62" s="42" t="inlineStr">
        <is>
          <t xml:space="preserve">    Маркетинг (запуск 1.68 млн/мес Г1-2 → ~4% выручки)</t>
        </is>
      </c>
      <c r="B62" s="43" t="inlineStr">
        <is>
          <t>% выручки</t>
        </is>
      </c>
      <c r="C62" s="48" t="inlineStr">
        <is>
          <t>—</t>
        </is>
      </c>
      <c r="D62" s="45" t="inlineStr"/>
      <c r="E62" s="46" t="inlineStr">
        <is>
          <t>·</t>
        </is>
      </c>
      <c r="F62" s="46" t="inlineStr">
        <is>
          <t>·</t>
        </is>
      </c>
      <c r="G62" s="46" t="inlineStr">
        <is>
          <t>·</t>
        </is>
      </c>
      <c r="H62" s="46" t="inlineStr">
        <is>
          <t>·</t>
        </is>
      </c>
      <c r="I62" s="46" t="inlineStr">
        <is>
          <t>·</t>
        </is>
      </c>
      <c r="J62" s="46" t="inlineStr">
        <is>
          <t>·</t>
        </is>
      </c>
      <c r="K62" s="46" t="inlineStr">
        <is>
          <t>·</t>
        </is>
      </c>
      <c r="L62" s="46" t="inlineStr">
        <is>
          <t>·</t>
        </is>
      </c>
      <c r="M62" s="46" t="inlineStr">
        <is>
          <t>·</t>
        </is>
      </c>
      <c r="N62" s="46" t="inlineStr">
        <is>
          <t>·</t>
        </is>
      </c>
      <c r="O62" s="46" t="inlineStr">
        <is>
          <t>·</t>
        </is>
      </c>
      <c r="P62" s="46" t="inlineStr">
        <is>
          <t>·</t>
        </is>
      </c>
      <c r="Q62" s="46" t="inlineStr">
        <is>
          <t>·</t>
        </is>
      </c>
      <c r="R62" s="46" t="inlineStr">
        <is>
          <t>·</t>
        </is>
      </c>
      <c r="S62" s="46" t="inlineStr">
        <is>
          <t>·</t>
        </is>
      </c>
      <c r="T62" s="46" t="inlineStr">
        <is>
          <t>·</t>
        </is>
      </c>
      <c r="U62" s="46" t="inlineStr">
        <is>
          <t>·</t>
        </is>
      </c>
      <c r="V62" s="46" t="inlineStr">
        <is>
          <t>·</t>
        </is>
      </c>
      <c r="W62" s="46" t="inlineStr">
        <is>
          <t>·</t>
        </is>
      </c>
      <c r="X62" s="46" t="inlineStr">
        <is>
          <t>·</t>
        </is>
      </c>
      <c r="Y62" s="46" t="inlineStr">
        <is>
          <t>·</t>
        </is>
      </c>
      <c r="Z62" s="46" t="inlineStr">
        <is>
          <t>·</t>
        </is>
      </c>
      <c r="AA62" s="46" t="inlineStr">
        <is>
          <t>·</t>
        </is>
      </c>
      <c r="AB62" s="46" t="inlineStr">
        <is>
          <t>·</t>
        </is>
      </c>
      <c r="AC62" s="46" t="inlineStr">
        <is>
          <t>·</t>
        </is>
      </c>
      <c r="AD62" s="46" t="inlineStr">
        <is>
          <t>·</t>
        </is>
      </c>
      <c r="AE62" s="46" t="inlineStr">
        <is>
          <t>·</t>
        </is>
      </c>
      <c r="AF62" s="46" t="inlineStr">
        <is>
          <t>·</t>
        </is>
      </c>
      <c r="AG62" s="46" t="inlineStr">
        <is>
          <t>·</t>
        </is>
      </c>
      <c r="AH62" s="46" t="inlineStr">
        <is>
          <t>·</t>
        </is>
      </c>
      <c r="AI62" s="46" t="inlineStr">
        <is>
          <t>·</t>
        </is>
      </c>
      <c r="AJ62" s="46" t="inlineStr">
        <is>
          <t>·</t>
        </is>
      </c>
      <c r="AK62" s="46" t="inlineStr">
        <is>
          <t>·</t>
        </is>
      </c>
      <c r="AL62" s="46" t="inlineStr">
        <is>
          <t>·</t>
        </is>
      </c>
      <c r="AM62" s="46" t="inlineStr">
        <is>
          <t>·</t>
        </is>
      </c>
      <c r="AN62" s="46" t="inlineStr">
        <is>
          <t>·</t>
        </is>
      </c>
      <c r="AO62" s="46" t="inlineStr">
        <is>
          <t>·</t>
        </is>
      </c>
      <c r="AP62" s="46" t="inlineStr">
        <is>
          <t>·</t>
        </is>
      </c>
      <c r="AQ62" s="46" t="inlineStr">
        <is>
          <t>·</t>
        </is>
      </c>
      <c r="AR62" s="46" t="inlineStr">
        <is>
          <t>·</t>
        </is>
      </c>
      <c r="AS62" s="46" t="inlineStr">
        <is>
          <t>·</t>
        </is>
      </c>
      <c r="AT62" s="46" t="inlineStr">
        <is>
          <t>·</t>
        </is>
      </c>
      <c r="AU62" s="46" t="inlineStr">
        <is>
          <t>·</t>
        </is>
      </c>
      <c r="AV62" s="46" t="inlineStr">
        <is>
          <t>·</t>
        </is>
      </c>
      <c r="AW62" s="46" t="inlineStr">
        <is>
          <t>·</t>
        </is>
      </c>
      <c r="AX62" s="46" t="inlineStr">
        <is>
          <t>·</t>
        </is>
      </c>
      <c r="AY62" s="46" t="inlineStr">
        <is>
          <t>·</t>
        </is>
      </c>
      <c r="AZ62" s="46" t="inlineStr">
        <is>
          <t>·</t>
        </is>
      </c>
      <c r="BA62" s="46" t="inlineStr">
        <is>
          <t>·</t>
        </is>
      </c>
      <c r="BB62" s="46" t="inlineStr">
        <is>
          <t>·</t>
        </is>
      </c>
      <c r="BC62" s="46" t="inlineStr">
        <is>
          <t>·</t>
        </is>
      </c>
      <c r="BD62" s="46" t="inlineStr">
        <is>
          <t>·</t>
        </is>
      </c>
      <c r="BE62" s="46" t="inlineStr">
        <is>
          <t>·</t>
        </is>
      </c>
      <c r="BF62" s="46" t="inlineStr">
        <is>
          <t>·</t>
        </is>
      </c>
      <c r="BG62" s="46" t="inlineStr">
        <is>
          <t>·</t>
        </is>
      </c>
      <c r="BH62" s="46" t="inlineStr">
        <is>
          <t>·</t>
        </is>
      </c>
      <c r="BI62" s="46" t="inlineStr">
        <is>
          <t>·</t>
        </is>
      </c>
      <c r="BJ62" s="46" t="inlineStr">
        <is>
          <t>·</t>
        </is>
      </c>
      <c r="BK62" s="46" t="inlineStr">
        <is>
          <t>·</t>
        </is>
      </c>
      <c r="BL62" s="46" t="inlineStr">
        <is>
          <t>·</t>
        </is>
      </c>
      <c r="BN62" s="55" t="n">
        <v>0.307</v>
      </c>
      <c r="BO62" s="55" t="n">
        <v>0.052</v>
      </c>
      <c r="BP62" s="55" t="n">
        <v>0.05</v>
      </c>
      <c r="BQ62" s="55" t="n">
        <v>0.045</v>
      </c>
      <c r="BR62" s="55" t="n">
        <v>0.04</v>
      </c>
    </row>
    <row r="63">
      <c r="A63" s="42" t="inlineStr">
        <is>
          <t xml:space="preserve">    IT и ПО</t>
        </is>
      </c>
      <c r="B63" s="43" t="inlineStr">
        <is>
          <t>% выручки</t>
        </is>
      </c>
      <c r="C63" s="48" t="inlineStr">
        <is>
          <t>—</t>
        </is>
      </c>
      <c r="D63" s="45" t="inlineStr"/>
      <c r="E63" s="46" t="inlineStr">
        <is>
          <t>·</t>
        </is>
      </c>
      <c r="F63" s="46" t="inlineStr">
        <is>
          <t>·</t>
        </is>
      </c>
      <c r="G63" s="46" t="inlineStr">
        <is>
          <t>·</t>
        </is>
      </c>
      <c r="H63" s="46" t="inlineStr">
        <is>
          <t>·</t>
        </is>
      </c>
      <c r="I63" s="46" t="inlineStr">
        <is>
          <t>·</t>
        </is>
      </c>
      <c r="J63" s="46" t="inlineStr">
        <is>
          <t>·</t>
        </is>
      </c>
      <c r="K63" s="46" t="inlineStr">
        <is>
          <t>·</t>
        </is>
      </c>
      <c r="L63" s="46" t="inlineStr">
        <is>
          <t>·</t>
        </is>
      </c>
      <c r="M63" s="46" t="inlineStr">
        <is>
          <t>·</t>
        </is>
      </c>
      <c r="N63" s="46" t="inlineStr">
        <is>
          <t>·</t>
        </is>
      </c>
      <c r="O63" s="46" t="inlineStr">
        <is>
          <t>·</t>
        </is>
      </c>
      <c r="P63" s="46" t="inlineStr">
        <is>
          <t>·</t>
        </is>
      </c>
      <c r="Q63" s="46" t="inlineStr">
        <is>
          <t>·</t>
        </is>
      </c>
      <c r="R63" s="46" t="inlineStr">
        <is>
          <t>·</t>
        </is>
      </c>
      <c r="S63" s="46" t="inlineStr">
        <is>
          <t>·</t>
        </is>
      </c>
      <c r="T63" s="46" t="inlineStr">
        <is>
          <t>·</t>
        </is>
      </c>
      <c r="U63" s="46" t="inlineStr">
        <is>
          <t>·</t>
        </is>
      </c>
      <c r="V63" s="46" t="inlineStr">
        <is>
          <t>·</t>
        </is>
      </c>
      <c r="W63" s="46" t="inlineStr">
        <is>
          <t>·</t>
        </is>
      </c>
      <c r="X63" s="46" t="inlineStr">
        <is>
          <t>·</t>
        </is>
      </c>
      <c r="Y63" s="46" t="inlineStr">
        <is>
          <t>·</t>
        </is>
      </c>
      <c r="Z63" s="46" t="inlineStr">
        <is>
          <t>·</t>
        </is>
      </c>
      <c r="AA63" s="46" t="inlineStr">
        <is>
          <t>·</t>
        </is>
      </c>
      <c r="AB63" s="46" t="inlineStr">
        <is>
          <t>·</t>
        </is>
      </c>
      <c r="AC63" s="46" t="inlineStr">
        <is>
          <t>·</t>
        </is>
      </c>
      <c r="AD63" s="46" t="inlineStr">
        <is>
          <t>·</t>
        </is>
      </c>
      <c r="AE63" s="46" t="inlineStr">
        <is>
          <t>·</t>
        </is>
      </c>
      <c r="AF63" s="46" t="inlineStr">
        <is>
          <t>·</t>
        </is>
      </c>
      <c r="AG63" s="46" t="inlineStr">
        <is>
          <t>·</t>
        </is>
      </c>
      <c r="AH63" s="46" t="inlineStr">
        <is>
          <t>·</t>
        </is>
      </c>
      <c r="AI63" s="46" t="inlineStr">
        <is>
          <t>·</t>
        </is>
      </c>
      <c r="AJ63" s="46" t="inlineStr">
        <is>
          <t>·</t>
        </is>
      </c>
      <c r="AK63" s="46" t="inlineStr">
        <is>
          <t>·</t>
        </is>
      </c>
      <c r="AL63" s="46" t="inlineStr">
        <is>
          <t>·</t>
        </is>
      </c>
      <c r="AM63" s="46" t="inlineStr">
        <is>
          <t>·</t>
        </is>
      </c>
      <c r="AN63" s="46" t="inlineStr">
        <is>
          <t>·</t>
        </is>
      </c>
      <c r="AO63" s="46" t="inlineStr">
        <is>
          <t>·</t>
        </is>
      </c>
      <c r="AP63" s="46" t="inlineStr">
        <is>
          <t>·</t>
        </is>
      </c>
      <c r="AQ63" s="46" t="inlineStr">
        <is>
          <t>·</t>
        </is>
      </c>
      <c r="AR63" s="46" t="inlineStr">
        <is>
          <t>·</t>
        </is>
      </c>
      <c r="AS63" s="46" t="inlineStr">
        <is>
          <t>·</t>
        </is>
      </c>
      <c r="AT63" s="46" t="inlineStr">
        <is>
          <t>·</t>
        </is>
      </c>
      <c r="AU63" s="46" t="inlineStr">
        <is>
          <t>·</t>
        </is>
      </c>
      <c r="AV63" s="46" t="inlineStr">
        <is>
          <t>·</t>
        </is>
      </c>
      <c r="AW63" s="46" t="inlineStr">
        <is>
          <t>·</t>
        </is>
      </c>
      <c r="AX63" s="46" t="inlineStr">
        <is>
          <t>·</t>
        </is>
      </c>
      <c r="AY63" s="46" t="inlineStr">
        <is>
          <t>·</t>
        </is>
      </c>
      <c r="AZ63" s="46" t="inlineStr">
        <is>
          <t>·</t>
        </is>
      </c>
      <c r="BA63" s="46" t="inlineStr">
        <is>
          <t>·</t>
        </is>
      </c>
      <c r="BB63" s="46" t="inlineStr">
        <is>
          <t>·</t>
        </is>
      </c>
      <c r="BC63" s="46" t="inlineStr">
        <is>
          <t>·</t>
        </is>
      </c>
      <c r="BD63" s="46" t="inlineStr">
        <is>
          <t>·</t>
        </is>
      </c>
      <c r="BE63" s="46" t="inlineStr">
        <is>
          <t>·</t>
        </is>
      </c>
      <c r="BF63" s="46" t="inlineStr">
        <is>
          <t>·</t>
        </is>
      </c>
      <c r="BG63" s="46" t="inlineStr">
        <is>
          <t>·</t>
        </is>
      </c>
      <c r="BH63" s="46" t="inlineStr">
        <is>
          <t>·</t>
        </is>
      </c>
      <c r="BI63" s="46" t="inlineStr">
        <is>
          <t>·</t>
        </is>
      </c>
      <c r="BJ63" s="46" t="inlineStr">
        <is>
          <t>·</t>
        </is>
      </c>
      <c r="BK63" s="46" t="inlineStr">
        <is>
          <t>·</t>
        </is>
      </c>
      <c r="BL63" s="46" t="inlineStr">
        <is>
          <t>·</t>
        </is>
      </c>
      <c r="BN63" s="55" t="n">
        <v>0.014</v>
      </c>
      <c r="BO63" s="55" t="n">
        <v>0.006</v>
      </c>
      <c r="BP63" s="55" t="n">
        <v>0.005</v>
      </c>
      <c r="BQ63" s="55" t="n">
        <v>0.005</v>
      </c>
      <c r="BR63" s="55" t="n">
        <v>0.005</v>
      </c>
    </row>
    <row r="64">
      <c r="A64" s="42" t="inlineStr">
        <is>
          <t xml:space="preserve">    Страхование</t>
        </is>
      </c>
      <c r="B64" s="43" t="inlineStr">
        <is>
          <t>% выручки</t>
        </is>
      </c>
      <c r="C64" s="48" t="inlineStr">
        <is>
          <t>—</t>
        </is>
      </c>
      <c r="D64" s="45" t="inlineStr"/>
      <c r="E64" s="46" t="inlineStr">
        <is>
          <t>·</t>
        </is>
      </c>
      <c r="F64" s="46" t="inlineStr">
        <is>
          <t>·</t>
        </is>
      </c>
      <c r="G64" s="46" t="inlineStr">
        <is>
          <t>·</t>
        </is>
      </c>
      <c r="H64" s="46" t="inlineStr">
        <is>
          <t>·</t>
        </is>
      </c>
      <c r="I64" s="46" t="inlineStr">
        <is>
          <t>·</t>
        </is>
      </c>
      <c r="J64" s="46" t="inlineStr">
        <is>
          <t>·</t>
        </is>
      </c>
      <c r="K64" s="46" t="inlineStr">
        <is>
          <t>·</t>
        </is>
      </c>
      <c r="L64" s="46" t="inlineStr">
        <is>
          <t>·</t>
        </is>
      </c>
      <c r="M64" s="46" t="inlineStr">
        <is>
          <t>·</t>
        </is>
      </c>
      <c r="N64" s="46" t="inlineStr">
        <is>
          <t>·</t>
        </is>
      </c>
      <c r="O64" s="46" t="inlineStr">
        <is>
          <t>·</t>
        </is>
      </c>
      <c r="P64" s="46" t="inlineStr">
        <is>
          <t>·</t>
        </is>
      </c>
      <c r="Q64" s="46" t="inlineStr">
        <is>
          <t>·</t>
        </is>
      </c>
      <c r="R64" s="46" t="inlineStr">
        <is>
          <t>·</t>
        </is>
      </c>
      <c r="S64" s="46" t="inlineStr">
        <is>
          <t>·</t>
        </is>
      </c>
      <c r="T64" s="46" t="inlineStr">
        <is>
          <t>·</t>
        </is>
      </c>
      <c r="U64" s="46" t="inlineStr">
        <is>
          <t>·</t>
        </is>
      </c>
      <c r="V64" s="46" t="inlineStr">
        <is>
          <t>·</t>
        </is>
      </c>
      <c r="W64" s="46" t="inlineStr">
        <is>
          <t>·</t>
        </is>
      </c>
      <c r="X64" s="46" t="inlineStr">
        <is>
          <t>·</t>
        </is>
      </c>
      <c r="Y64" s="46" t="inlineStr">
        <is>
          <t>·</t>
        </is>
      </c>
      <c r="Z64" s="46" t="inlineStr">
        <is>
          <t>·</t>
        </is>
      </c>
      <c r="AA64" s="46" t="inlineStr">
        <is>
          <t>·</t>
        </is>
      </c>
      <c r="AB64" s="46" t="inlineStr">
        <is>
          <t>·</t>
        </is>
      </c>
      <c r="AC64" s="46" t="inlineStr">
        <is>
          <t>·</t>
        </is>
      </c>
      <c r="AD64" s="46" t="inlineStr">
        <is>
          <t>·</t>
        </is>
      </c>
      <c r="AE64" s="46" t="inlineStr">
        <is>
          <t>·</t>
        </is>
      </c>
      <c r="AF64" s="46" t="inlineStr">
        <is>
          <t>·</t>
        </is>
      </c>
      <c r="AG64" s="46" t="inlineStr">
        <is>
          <t>·</t>
        </is>
      </c>
      <c r="AH64" s="46" t="inlineStr">
        <is>
          <t>·</t>
        </is>
      </c>
      <c r="AI64" s="46" t="inlineStr">
        <is>
          <t>·</t>
        </is>
      </c>
      <c r="AJ64" s="46" t="inlineStr">
        <is>
          <t>·</t>
        </is>
      </c>
      <c r="AK64" s="46" t="inlineStr">
        <is>
          <t>·</t>
        </is>
      </c>
      <c r="AL64" s="46" t="inlineStr">
        <is>
          <t>·</t>
        </is>
      </c>
      <c r="AM64" s="46" t="inlineStr">
        <is>
          <t>·</t>
        </is>
      </c>
      <c r="AN64" s="46" t="inlineStr">
        <is>
          <t>·</t>
        </is>
      </c>
      <c r="AO64" s="46" t="inlineStr">
        <is>
          <t>·</t>
        </is>
      </c>
      <c r="AP64" s="46" t="inlineStr">
        <is>
          <t>·</t>
        </is>
      </c>
      <c r="AQ64" s="46" t="inlineStr">
        <is>
          <t>·</t>
        </is>
      </c>
      <c r="AR64" s="46" t="inlineStr">
        <is>
          <t>·</t>
        </is>
      </c>
      <c r="AS64" s="46" t="inlineStr">
        <is>
          <t>·</t>
        </is>
      </c>
      <c r="AT64" s="46" t="inlineStr">
        <is>
          <t>·</t>
        </is>
      </c>
      <c r="AU64" s="46" t="inlineStr">
        <is>
          <t>·</t>
        </is>
      </c>
      <c r="AV64" s="46" t="inlineStr">
        <is>
          <t>·</t>
        </is>
      </c>
      <c r="AW64" s="46" t="inlineStr">
        <is>
          <t>·</t>
        </is>
      </c>
      <c r="AX64" s="46" t="inlineStr">
        <is>
          <t>·</t>
        </is>
      </c>
      <c r="AY64" s="46" t="inlineStr">
        <is>
          <t>·</t>
        </is>
      </c>
      <c r="AZ64" s="46" t="inlineStr">
        <is>
          <t>·</t>
        </is>
      </c>
      <c r="BA64" s="46" t="inlineStr">
        <is>
          <t>·</t>
        </is>
      </c>
      <c r="BB64" s="46" t="inlineStr">
        <is>
          <t>·</t>
        </is>
      </c>
      <c r="BC64" s="46" t="inlineStr">
        <is>
          <t>·</t>
        </is>
      </c>
      <c r="BD64" s="46" t="inlineStr">
        <is>
          <t>·</t>
        </is>
      </c>
      <c r="BE64" s="46" t="inlineStr">
        <is>
          <t>·</t>
        </is>
      </c>
      <c r="BF64" s="46" t="inlineStr">
        <is>
          <t>·</t>
        </is>
      </c>
      <c r="BG64" s="46" t="inlineStr">
        <is>
          <t>·</t>
        </is>
      </c>
      <c r="BH64" s="46" t="inlineStr">
        <is>
          <t>·</t>
        </is>
      </c>
      <c r="BI64" s="46" t="inlineStr">
        <is>
          <t>·</t>
        </is>
      </c>
      <c r="BJ64" s="46" t="inlineStr">
        <is>
          <t>·</t>
        </is>
      </c>
      <c r="BK64" s="46" t="inlineStr">
        <is>
          <t>·</t>
        </is>
      </c>
      <c r="BL64" s="46" t="inlineStr">
        <is>
          <t>·</t>
        </is>
      </c>
      <c r="BN64" s="55" t="n">
        <v>0.027</v>
      </c>
      <c r="BO64" s="55" t="n">
        <v>0.005</v>
      </c>
      <c r="BP64" s="55" t="n">
        <v>0.004</v>
      </c>
      <c r="BQ64" s="55" t="n">
        <v>0.004</v>
      </c>
      <c r="BR64" s="55" t="n">
        <v>0.004</v>
      </c>
    </row>
    <row r="65">
      <c r="A65" s="42" t="inlineStr">
        <is>
          <t xml:space="preserve">    Хозяйственные расходы</t>
        </is>
      </c>
      <c r="B65" s="43" t="inlineStr">
        <is>
          <t>% выручки</t>
        </is>
      </c>
      <c r="C65" s="48" t="inlineStr">
        <is>
          <t>—</t>
        </is>
      </c>
      <c r="D65" s="45" t="inlineStr"/>
      <c r="E65" s="46" t="inlineStr">
        <is>
          <t>·</t>
        </is>
      </c>
      <c r="F65" s="46" t="inlineStr">
        <is>
          <t>·</t>
        </is>
      </c>
      <c r="G65" s="46" t="inlineStr">
        <is>
          <t>·</t>
        </is>
      </c>
      <c r="H65" s="46" t="inlineStr">
        <is>
          <t>·</t>
        </is>
      </c>
      <c r="I65" s="46" t="inlineStr">
        <is>
          <t>·</t>
        </is>
      </c>
      <c r="J65" s="46" t="inlineStr">
        <is>
          <t>·</t>
        </is>
      </c>
      <c r="K65" s="46" t="inlineStr">
        <is>
          <t>·</t>
        </is>
      </c>
      <c r="L65" s="46" t="inlineStr">
        <is>
          <t>·</t>
        </is>
      </c>
      <c r="M65" s="46" t="inlineStr">
        <is>
          <t>·</t>
        </is>
      </c>
      <c r="N65" s="46" t="inlineStr">
        <is>
          <t>·</t>
        </is>
      </c>
      <c r="O65" s="46" t="inlineStr">
        <is>
          <t>·</t>
        </is>
      </c>
      <c r="P65" s="46" t="inlineStr">
        <is>
          <t>·</t>
        </is>
      </c>
      <c r="Q65" s="46" t="inlineStr">
        <is>
          <t>·</t>
        </is>
      </c>
      <c r="R65" s="46" t="inlineStr">
        <is>
          <t>·</t>
        </is>
      </c>
      <c r="S65" s="46" t="inlineStr">
        <is>
          <t>·</t>
        </is>
      </c>
      <c r="T65" s="46" t="inlineStr">
        <is>
          <t>·</t>
        </is>
      </c>
      <c r="U65" s="46" t="inlineStr">
        <is>
          <t>·</t>
        </is>
      </c>
      <c r="V65" s="46" t="inlineStr">
        <is>
          <t>·</t>
        </is>
      </c>
      <c r="W65" s="46" t="inlineStr">
        <is>
          <t>·</t>
        </is>
      </c>
      <c r="X65" s="46" t="inlineStr">
        <is>
          <t>·</t>
        </is>
      </c>
      <c r="Y65" s="46" t="inlineStr">
        <is>
          <t>·</t>
        </is>
      </c>
      <c r="Z65" s="46" t="inlineStr">
        <is>
          <t>·</t>
        </is>
      </c>
      <c r="AA65" s="46" t="inlineStr">
        <is>
          <t>·</t>
        </is>
      </c>
      <c r="AB65" s="46" t="inlineStr">
        <is>
          <t>·</t>
        </is>
      </c>
      <c r="AC65" s="46" t="inlineStr">
        <is>
          <t>·</t>
        </is>
      </c>
      <c r="AD65" s="46" t="inlineStr">
        <is>
          <t>·</t>
        </is>
      </c>
      <c r="AE65" s="46" t="inlineStr">
        <is>
          <t>·</t>
        </is>
      </c>
      <c r="AF65" s="46" t="inlineStr">
        <is>
          <t>·</t>
        </is>
      </c>
      <c r="AG65" s="46" t="inlineStr">
        <is>
          <t>·</t>
        </is>
      </c>
      <c r="AH65" s="46" t="inlineStr">
        <is>
          <t>·</t>
        </is>
      </c>
      <c r="AI65" s="46" t="inlineStr">
        <is>
          <t>·</t>
        </is>
      </c>
      <c r="AJ65" s="46" t="inlineStr">
        <is>
          <t>·</t>
        </is>
      </c>
      <c r="AK65" s="46" t="inlineStr">
        <is>
          <t>·</t>
        </is>
      </c>
      <c r="AL65" s="46" t="inlineStr">
        <is>
          <t>·</t>
        </is>
      </c>
      <c r="AM65" s="46" t="inlineStr">
        <is>
          <t>·</t>
        </is>
      </c>
      <c r="AN65" s="46" t="inlineStr">
        <is>
          <t>·</t>
        </is>
      </c>
      <c r="AO65" s="46" t="inlineStr">
        <is>
          <t>·</t>
        </is>
      </c>
      <c r="AP65" s="46" t="inlineStr">
        <is>
          <t>·</t>
        </is>
      </c>
      <c r="AQ65" s="46" t="inlineStr">
        <is>
          <t>·</t>
        </is>
      </c>
      <c r="AR65" s="46" t="inlineStr">
        <is>
          <t>·</t>
        </is>
      </c>
      <c r="AS65" s="46" t="inlineStr">
        <is>
          <t>·</t>
        </is>
      </c>
      <c r="AT65" s="46" t="inlineStr">
        <is>
          <t>·</t>
        </is>
      </c>
      <c r="AU65" s="46" t="inlineStr">
        <is>
          <t>·</t>
        </is>
      </c>
      <c r="AV65" s="46" t="inlineStr">
        <is>
          <t>·</t>
        </is>
      </c>
      <c r="AW65" s="46" t="inlineStr">
        <is>
          <t>·</t>
        </is>
      </c>
      <c r="AX65" s="46" t="inlineStr">
        <is>
          <t>·</t>
        </is>
      </c>
      <c r="AY65" s="46" t="inlineStr">
        <is>
          <t>·</t>
        </is>
      </c>
      <c r="AZ65" s="46" t="inlineStr">
        <is>
          <t>·</t>
        </is>
      </c>
      <c r="BA65" s="46" t="inlineStr">
        <is>
          <t>·</t>
        </is>
      </c>
      <c r="BB65" s="46" t="inlineStr">
        <is>
          <t>·</t>
        </is>
      </c>
      <c r="BC65" s="46" t="inlineStr">
        <is>
          <t>·</t>
        </is>
      </c>
      <c r="BD65" s="46" t="inlineStr">
        <is>
          <t>·</t>
        </is>
      </c>
      <c r="BE65" s="46" t="inlineStr">
        <is>
          <t>·</t>
        </is>
      </c>
      <c r="BF65" s="46" t="inlineStr">
        <is>
          <t>·</t>
        </is>
      </c>
      <c r="BG65" s="46" t="inlineStr">
        <is>
          <t>·</t>
        </is>
      </c>
      <c r="BH65" s="46" t="inlineStr">
        <is>
          <t>·</t>
        </is>
      </c>
      <c r="BI65" s="46" t="inlineStr">
        <is>
          <t>·</t>
        </is>
      </c>
      <c r="BJ65" s="46" t="inlineStr">
        <is>
          <t>·</t>
        </is>
      </c>
      <c r="BK65" s="46" t="inlineStr">
        <is>
          <t>·</t>
        </is>
      </c>
      <c r="BL65" s="46" t="inlineStr">
        <is>
          <t>·</t>
        </is>
      </c>
      <c r="BN65" s="55" t="n">
        <v>0.018</v>
      </c>
      <c r="BO65" s="55" t="n">
        <v>0.009000000000000001</v>
      </c>
      <c r="BP65" s="55" t="n">
        <v>0.006999999999999999</v>
      </c>
      <c r="BQ65" s="55" t="n">
        <v>0.006999999999999999</v>
      </c>
      <c r="BR65" s="55" t="n">
        <v>0.006999999999999999</v>
      </c>
    </row>
    <row r="66">
      <c r="A66" s="42" t="inlineStr">
        <is>
          <t xml:space="preserve">    Прочие административные</t>
        </is>
      </c>
      <c r="B66" s="43" t="inlineStr">
        <is>
          <t>% выручки</t>
        </is>
      </c>
      <c r="C66" s="48" t="inlineStr">
        <is>
          <t>—</t>
        </is>
      </c>
      <c r="D66" s="45" t="inlineStr"/>
      <c r="E66" s="46" t="inlineStr">
        <is>
          <t>·</t>
        </is>
      </c>
      <c r="F66" s="46" t="inlineStr">
        <is>
          <t>·</t>
        </is>
      </c>
      <c r="G66" s="46" t="inlineStr">
        <is>
          <t>·</t>
        </is>
      </c>
      <c r="H66" s="46" t="inlineStr">
        <is>
          <t>·</t>
        </is>
      </c>
      <c r="I66" s="46" t="inlineStr">
        <is>
          <t>·</t>
        </is>
      </c>
      <c r="J66" s="46" t="inlineStr">
        <is>
          <t>·</t>
        </is>
      </c>
      <c r="K66" s="46" t="inlineStr">
        <is>
          <t>·</t>
        </is>
      </c>
      <c r="L66" s="46" t="inlineStr">
        <is>
          <t>·</t>
        </is>
      </c>
      <c r="M66" s="46" t="inlineStr">
        <is>
          <t>·</t>
        </is>
      </c>
      <c r="N66" s="46" t="inlineStr">
        <is>
          <t>·</t>
        </is>
      </c>
      <c r="O66" s="46" t="inlineStr">
        <is>
          <t>·</t>
        </is>
      </c>
      <c r="P66" s="46" t="inlineStr">
        <is>
          <t>·</t>
        </is>
      </c>
      <c r="Q66" s="46" t="inlineStr">
        <is>
          <t>·</t>
        </is>
      </c>
      <c r="R66" s="46" t="inlineStr">
        <is>
          <t>·</t>
        </is>
      </c>
      <c r="S66" s="46" t="inlineStr">
        <is>
          <t>·</t>
        </is>
      </c>
      <c r="T66" s="46" t="inlineStr">
        <is>
          <t>·</t>
        </is>
      </c>
      <c r="U66" s="46" t="inlineStr">
        <is>
          <t>·</t>
        </is>
      </c>
      <c r="V66" s="46" t="inlineStr">
        <is>
          <t>·</t>
        </is>
      </c>
      <c r="W66" s="46" t="inlineStr">
        <is>
          <t>·</t>
        </is>
      </c>
      <c r="X66" s="46" t="inlineStr">
        <is>
          <t>·</t>
        </is>
      </c>
      <c r="Y66" s="46" t="inlineStr">
        <is>
          <t>·</t>
        </is>
      </c>
      <c r="Z66" s="46" t="inlineStr">
        <is>
          <t>·</t>
        </is>
      </c>
      <c r="AA66" s="46" t="inlineStr">
        <is>
          <t>·</t>
        </is>
      </c>
      <c r="AB66" s="46" t="inlineStr">
        <is>
          <t>·</t>
        </is>
      </c>
      <c r="AC66" s="46" t="inlineStr">
        <is>
          <t>·</t>
        </is>
      </c>
      <c r="AD66" s="46" t="inlineStr">
        <is>
          <t>·</t>
        </is>
      </c>
      <c r="AE66" s="46" t="inlineStr">
        <is>
          <t>·</t>
        </is>
      </c>
      <c r="AF66" s="46" t="inlineStr">
        <is>
          <t>·</t>
        </is>
      </c>
      <c r="AG66" s="46" t="inlineStr">
        <is>
          <t>·</t>
        </is>
      </c>
      <c r="AH66" s="46" t="inlineStr">
        <is>
          <t>·</t>
        </is>
      </c>
      <c r="AI66" s="46" t="inlineStr">
        <is>
          <t>·</t>
        </is>
      </c>
      <c r="AJ66" s="46" t="inlineStr">
        <is>
          <t>·</t>
        </is>
      </c>
      <c r="AK66" s="46" t="inlineStr">
        <is>
          <t>·</t>
        </is>
      </c>
      <c r="AL66" s="46" t="inlineStr">
        <is>
          <t>·</t>
        </is>
      </c>
      <c r="AM66" s="46" t="inlineStr">
        <is>
          <t>·</t>
        </is>
      </c>
      <c r="AN66" s="46" t="inlineStr">
        <is>
          <t>·</t>
        </is>
      </c>
      <c r="AO66" s="46" t="inlineStr">
        <is>
          <t>·</t>
        </is>
      </c>
      <c r="AP66" s="46" t="inlineStr">
        <is>
          <t>·</t>
        </is>
      </c>
      <c r="AQ66" s="46" t="inlineStr">
        <is>
          <t>·</t>
        </is>
      </c>
      <c r="AR66" s="46" t="inlineStr">
        <is>
          <t>·</t>
        </is>
      </c>
      <c r="AS66" s="46" t="inlineStr">
        <is>
          <t>·</t>
        </is>
      </c>
      <c r="AT66" s="46" t="inlineStr">
        <is>
          <t>·</t>
        </is>
      </c>
      <c r="AU66" s="46" t="inlineStr">
        <is>
          <t>·</t>
        </is>
      </c>
      <c r="AV66" s="46" t="inlineStr">
        <is>
          <t>·</t>
        </is>
      </c>
      <c r="AW66" s="46" t="inlineStr">
        <is>
          <t>·</t>
        </is>
      </c>
      <c r="AX66" s="46" t="inlineStr">
        <is>
          <t>·</t>
        </is>
      </c>
      <c r="AY66" s="46" t="inlineStr">
        <is>
          <t>·</t>
        </is>
      </c>
      <c r="AZ66" s="46" t="inlineStr">
        <is>
          <t>·</t>
        </is>
      </c>
      <c r="BA66" s="46" t="inlineStr">
        <is>
          <t>·</t>
        </is>
      </c>
      <c r="BB66" s="46" t="inlineStr">
        <is>
          <t>·</t>
        </is>
      </c>
      <c r="BC66" s="46" t="inlineStr">
        <is>
          <t>·</t>
        </is>
      </c>
      <c r="BD66" s="46" t="inlineStr">
        <is>
          <t>·</t>
        </is>
      </c>
      <c r="BE66" s="46" t="inlineStr">
        <is>
          <t>·</t>
        </is>
      </c>
      <c r="BF66" s="46" t="inlineStr">
        <is>
          <t>·</t>
        </is>
      </c>
      <c r="BG66" s="46" t="inlineStr">
        <is>
          <t>·</t>
        </is>
      </c>
      <c r="BH66" s="46" t="inlineStr">
        <is>
          <t>·</t>
        </is>
      </c>
      <c r="BI66" s="46" t="inlineStr">
        <is>
          <t>·</t>
        </is>
      </c>
      <c r="BJ66" s="46" t="inlineStr">
        <is>
          <t>·</t>
        </is>
      </c>
      <c r="BK66" s="46" t="inlineStr">
        <is>
          <t>·</t>
        </is>
      </c>
      <c r="BL66" s="46" t="inlineStr">
        <is>
          <t>·</t>
        </is>
      </c>
      <c r="BN66" s="55" t="n">
        <v>0.016</v>
      </c>
      <c r="BO66" s="55" t="n">
        <v>0.008</v>
      </c>
      <c r="BP66" s="55" t="n">
        <v>0.006</v>
      </c>
      <c r="BQ66" s="55" t="n">
        <v>0.006</v>
      </c>
      <c r="BR66" s="55" t="n">
        <v>0.006</v>
      </c>
    </row>
    <row r="67"/>
    <row r="68" ht="22" customHeight="1">
      <c r="A68" s="41" t="inlineStr">
        <is>
          <t xml:space="preserve">  CAPEX — ДОПУЩЕНИЯ | Амортизационная группа IV</t>
        </is>
      </c>
    </row>
    <row r="69">
      <c r="A69" s="42" t="inlineStr">
        <is>
          <t xml:space="preserve">    CAPEX поддерживающий (млн ₽)</t>
        </is>
      </c>
      <c r="B69" s="43" t="inlineStr">
        <is>
          <t>млн ₽</t>
        </is>
      </c>
      <c r="C69" s="53">
        <f>SUM(BN69:BR69)</f>
        <v/>
      </c>
      <c r="D69" s="45" t="inlineStr"/>
      <c r="E69" s="46" t="inlineStr">
        <is>
          <t>·</t>
        </is>
      </c>
      <c r="F69" s="46" t="inlineStr">
        <is>
          <t>·</t>
        </is>
      </c>
      <c r="G69" s="46" t="inlineStr">
        <is>
          <t>·</t>
        </is>
      </c>
      <c r="H69" s="46" t="inlineStr">
        <is>
          <t>·</t>
        </is>
      </c>
      <c r="I69" s="46" t="inlineStr">
        <is>
          <t>·</t>
        </is>
      </c>
      <c r="J69" s="46" t="inlineStr">
        <is>
          <t>·</t>
        </is>
      </c>
      <c r="K69" s="46" t="inlineStr">
        <is>
          <t>·</t>
        </is>
      </c>
      <c r="L69" s="46" t="inlineStr">
        <is>
          <t>·</t>
        </is>
      </c>
      <c r="M69" s="46" t="inlineStr">
        <is>
          <t>·</t>
        </is>
      </c>
      <c r="N69" s="46" t="inlineStr">
        <is>
          <t>·</t>
        </is>
      </c>
      <c r="O69" s="46" t="inlineStr">
        <is>
          <t>·</t>
        </is>
      </c>
      <c r="P69" s="46" t="inlineStr">
        <is>
          <t>·</t>
        </is>
      </c>
      <c r="Q69" s="46" t="inlineStr">
        <is>
          <t>·</t>
        </is>
      </c>
      <c r="R69" s="46" t="inlineStr">
        <is>
          <t>·</t>
        </is>
      </c>
      <c r="S69" s="46" t="inlineStr">
        <is>
          <t>·</t>
        </is>
      </c>
      <c r="T69" s="46" t="inlineStr">
        <is>
          <t>·</t>
        </is>
      </c>
      <c r="U69" s="46" t="inlineStr">
        <is>
          <t>·</t>
        </is>
      </c>
      <c r="V69" s="46" t="inlineStr">
        <is>
          <t>·</t>
        </is>
      </c>
      <c r="W69" s="46" t="inlineStr">
        <is>
          <t>·</t>
        </is>
      </c>
      <c r="X69" s="46" t="inlineStr">
        <is>
          <t>·</t>
        </is>
      </c>
      <c r="Y69" s="46" t="inlineStr">
        <is>
          <t>·</t>
        </is>
      </c>
      <c r="Z69" s="46" t="inlineStr">
        <is>
          <t>·</t>
        </is>
      </c>
      <c r="AA69" s="46" t="inlineStr">
        <is>
          <t>·</t>
        </is>
      </c>
      <c r="AB69" s="46" t="inlineStr">
        <is>
          <t>·</t>
        </is>
      </c>
      <c r="AC69" s="46" t="inlineStr">
        <is>
          <t>·</t>
        </is>
      </c>
      <c r="AD69" s="46" t="inlineStr">
        <is>
          <t>·</t>
        </is>
      </c>
      <c r="AE69" s="46" t="inlineStr">
        <is>
          <t>·</t>
        </is>
      </c>
      <c r="AF69" s="46" t="inlineStr">
        <is>
          <t>·</t>
        </is>
      </c>
      <c r="AG69" s="46" t="inlineStr">
        <is>
          <t>·</t>
        </is>
      </c>
      <c r="AH69" s="46" t="inlineStr">
        <is>
          <t>·</t>
        </is>
      </c>
      <c r="AI69" s="46" t="inlineStr">
        <is>
          <t>·</t>
        </is>
      </c>
      <c r="AJ69" s="46" t="inlineStr">
        <is>
          <t>·</t>
        </is>
      </c>
      <c r="AK69" s="46" t="inlineStr">
        <is>
          <t>·</t>
        </is>
      </c>
      <c r="AL69" s="46" t="inlineStr">
        <is>
          <t>·</t>
        </is>
      </c>
      <c r="AM69" s="46" t="inlineStr">
        <is>
          <t>·</t>
        </is>
      </c>
      <c r="AN69" s="46" t="inlineStr">
        <is>
          <t>·</t>
        </is>
      </c>
      <c r="AO69" s="46" t="inlineStr">
        <is>
          <t>·</t>
        </is>
      </c>
      <c r="AP69" s="46" t="inlineStr">
        <is>
          <t>·</t>
        </is>
      </c>
      <c r="AQ69" s="46" t="inlineStr">
        <is>
          <t>·</t>
        </is>
      </c>
      <c r="AR69" s="46" t="inlineStr">
        <is>
          <t>·</t>
        </is>
      </c>
      <c r="AS69" s="46" t="inlineStr">
        <is>
          <t>·</t>
        </is>
      </c>
      <c r="AT69" s="46" t="inlineStr">
        <is>
          <t>·</t>
        </is>
      </c>
      <c r="AU69" s="46" t="inlineStr">
        <is>
          <t>·</t>
        </is>
      </c>
      <c r="AV69" s="46" t="inlineStr">
        <is>
          <t>·</t>
        </is>
      </c>
      <c r="AW69" s="46" t="inlineStr">
        <is>
          <t>·</t>
        </is>
      </c>
      <c r="AX69" s="46" t="inlineStr">
        <is>
          <t>·</t>
        </is>
      </c>
      <c r="AY69" s="46" t="inlineStr">
        <is>
          <t>·</t>
        </is>
      </c>
      <c r="AZ69" s="46" t="inlineStr">
        <is>
          <t>·</t>
        </is>
      </c>
      <c r="BA69" s="46" t="inlineStr">
        <is>
          <t>·</t>
        </is>
      </c>
      <c r="BB69" s="46" t="inlineStr">
        <is>
          <t>·</t>
        </is>
      </c>
      <c r="BC69" s="46" t="inlineStr">
        <is>
          <t>·</t>
        </is>
      </c>
      <c r="BD69" s="46" t="inlineStr">
        <is>
          <t>·</t>
        </is>
      </c>
      <c r="BE69" s="46" t="inlineStr">
        <is>
          <t>·</t>
        </is>
      </c>
      <c r="BF69" s="46" t="inlineStr">
        <is>
          <t>·</t>
        </is>
      </c>
      <c r="BG69" s="46" t="inlineStr">
        <is>
          <t>·</t>
        </is>
      </c>
      <c r="BH69" s="46" t="inlineStr">
        <is>
          <t>·</t>
        </is>
      </c>
      <c r="BI69" s="46" t="inlineStr">
        <is>
          <t>·</t>
        </is>
      </c>
      <c r="BJ69" s="46" t="inlineStr">
        <is>
          <t>·</t>
        </is>
      </c>
      <c r="BK69" s="46" t="inlineStr">
        <is>
          <t>·</t>
        </is>
      </c>
      <c r="BL69" s="46" t="inlineStr">
        <is>
          <t>·</t>
        </is>
      </c>
      <c r="BN69" s="61" t="n">
        <v>0</v>
      </c>
      <c r="BO69" s="61" t="n">
        <v>10.6</v>
      </c>
      <c r="BP69" s="61" t="n">
        <v>14.58</v>
      </c>
      <c r="BQ69" s="61" t="n">
        <v>16.04</v>
      </c>
      <c r="BR69" s="61" t="n">
        <v>17.64</v>
      </c>
    </row>
    <row r="70">
      <c r="A70" s="42" t="inlineStr">
        <is>
          <t xml:space="preserve">    CAPEX на рост (млн ₽)</t>
        </is>
      </c>
      <c r="B70" s="43" t="inlineStr">
        <is>
          <t>млн ₽</t>
        </is>
      </c>
      <c r="C70" s="53">
        <f>SUM(BN70:BR70)</f>
        <v/>
      </c>
      <c r="D70" s="45" t="inlineStr"/>
      <c r="E70" s="46" t="inlineStr">
        <is>
          <t>·</t>
        </is>
      </c>
      <c r="F70" s="46" t="inlineStr">
        <is>
          <t>·</t>
        </is>
      </c>
      <c r="G70" s="46" t="inlineStr">
        <is>
          <t>·</t>
        </is>
      </c>
      <c r="H70" s="46" t="inlineStr">
        <is>
          <t>·</t>
        </is>
      </c>
      <c r="I70" s="46" t="inlineStr">
        <is>
          <t>·</t>
        </is>
      </c>
      <c r="J70" s="46" t="inlineStr">
        <is>
          <t>·</t>
        </is>
      </c>
      <c r="K70" s="46" t="inlineStr">
        <is>
          <t>·</t>
        </is>
      </c>
      <c r="L70" s="46" t="inlineStr">
        <is>
          <t>·</t>
        </is>
      </c>
      <c r="M70" s="46" t="inlineStr">
        <is>
          <t>·</t>
        </is>
      </c>
      <c r="N70" s="46" t="inlineStr">
        <is>
          <t>·</t>
        </is>
      </c>
      <c r="O70" s="46" t="inlineStr">
        <is>
          <t>·</t>
        </is>
      </c>
      <c r="P70" s="46" t="inlineStr">
        <is>
          <t>·</t>
        </is>
      </c>
      <c r="Q70" s="46" t="inlineStr">
        <is>
          <t>·</t>
        </is>
      </c>
      <c r="R70" s="46" t="inlineStr">
        <is>
          <t>·</t>
        </is>
      </c>
      <c r="S70" s="46" t="inlineStr">
        <is>
          <t>·</t>
        </is>
      </c>
      <c r="T70" s="46" t="inlineStr">
        <is>
          <t>·</t>
        </is>
      </c>
      <c r="U70" s="46" t="inlineStr">
        <is>
          <t>·</t>
        </is>
      </c>
      <c r="V70" s="46" t="inlineStr">
        <is>
          <t>·</t>
        </is>
      </c>
      <c r="W70" s="46" t="inlineStr">
        <is>
          <t>·</t>
        </is>
      </c>
      <c r="X70" s="46" t="inlineStr">
        <is>
          <t>·</t>
        </is>
      </c>
      <c r="Y70" s="46" t="inlineStr">
        <is>
          <t>·</t>
        </is>
      </c>
      <c r="Z70" s="46" t="inlineStr">
        <is>
          <t>·</t>
        </is>
      </c>
      <c r="AA70" s="46" t="inlineStr">
        <is>
          <t>·</t>
        </is>
      </c>
      <c r="AB70" s="46" t="inlineStr">
        <is>
          <t>·</t>
        </is>
      </c>
      <c r="AC70" s="46" t="inlineStr">
        <is>
          <t>·</t>
        </is>
      </c>
      <c r="AD70" s="46" t="inlineStr">
        <is>
          <t>·</t>
        </is>
      </c>
      <c r="AE70" s="46" t="inlineStr">
        <is>
          <t>·</t>
        </is>
      </c>
      <c r="AF70" s="46" t="inlineStr">
        <is>
          <t>·</t>
        </is>
      </c>
      <c r="AG70" s="46" t="inlineStr">
        <is>
          <t>·</t>
        </is>
      </c>
      <c r="AH70" s="46" t="inlineStr">
        <is>
          <t>·</t>
        </is>
      </c>
      <c r="AI70" s="46" t="inlineStr">
        <is>
          <t>·</t>
        </is>
      </c>
      <c r="AJ70" s="46" t="inlineStr">
        <is>
          <t>·</t>
        </is>
      </c>
      <c r="AK70" s="46" t="inlineStr">
        <is>
          <t>·</t>
        </is>
      </c>
      <c r="AL70" s="46" t="inlineStr">
        <is>
          <t>·</t>
        </is>
      </c>
      <c r="AM70" s="46" t="inlineStr">
        <is>
          <t>·</t>
        </is>
      </c>
      <c r="AN70" s="46" t="inlineStr">
        <is>
          <t>·</t>
        </is>
      </c>
      <c r="AO70" s="46" t="inlineStr">
        <is>
          <t>·</t>
        </is>
      </c>
      <c r="AP70" s="46" t="inlineStr">
        <is>
          <t>·</t>
        </is>
      </c>
      <c r="AQ70" s="46" t="inlineStr">
        <is>
          <t>·</t>
        </is>
      </c>
      <c r="AR70" s="46" t="inlineStr">
        <is>
          <t>·</t>
        </is>
      </c>
      <c r="AS70" s="46" t="inlineStr">
        <is>
          <t>·</t>
        </is>
      </c>
      <c r="AT70" s="46" t="inlineStr">
        <is>
          <t>·</t>
        </is>
      </c>
      <c r="AU70" s="46" t="inlineStr">
        <is>
          <t>·</t>
        </is>
      </c>
      <c r="AV70" s="46" t="inlineStr">
        <is>
          <t>·</t>
        </is>
      </c>
      <c r="AW70" s="46" t="inlineStr">
        <is>
          <t>·</t>
        </is>
      </c>
      <c r="AX70" s="46" t="inlineStr">
        <is>
          <t>·</t>
        </is>
      </c>
      <c r="AY70" s="46" t="inlineStr">
        <is>
          <t>·</t>
        </is>
      </c>
      <c r="AZ70" s="46" t="inlineStr">
        <is>
          <t>·</t>
        </is>
      </c>
      <c r="BA70" s="46" t="inlineStr">
        <is>
          <t>·</t>
        </is>
      </c>
      <c r="BB70" s="46" t="inlineStr">
        <is>
          <t>·</t>
        </is>
      </c>
      <c r="BC70" s="46" t="inlineStr">
        <is>
          <t>·</t>
        </is>
      </c>
      <c r="BD70" s="46" t="inlineStr">
        <is>
          <t>·</t>
        </is>
      </c>
      <c r="BE70" s="46" t="inlineStr">
        <is>
          <t>·</t>
        </is>
      </c>
      <c r="BF70" s="46" t="inlineStr">
        <is>
          <t>·</t>
        </is>
      </c>
      <c r="BG70" s="46" t="inlineStr">
        <is>
          <t>·</t>
        </is>
      </c>
      <c r="BH70" s="46" t="inlineStr">
        <is>
          <t>·</t>
        </is>
      </c>
      <c r="BI70" s="46" t="inlineStr">
        <is>
          <t>·</t>
        </is>
      </c>
      <c r="BJ70" s="46" t="inlineStr">
        <is>
          <t>·</t>
        </is>
      </c>
      <c r="BK70" s="46" t="inlineStr">
        <is>
          <t>·</t>
        </is>
      </c>
      <c r="BL70" s="46" t="inlineStr">
        <is>
          <t>·</t>
        </is>
      </c>
      <c r="BN70" s="61" t="n">
        <v>0</v>
      </c>
      <c r="BO70" s="61" t="n">
        <v>0</v>
      </c>
      <c r="BP70" s="61" t="n">
        <v>0</v>
      </c>
      <c r="BQ70" s="61" t="n">
        <v>0</v>
      </c>
      <c r="BR70" s="61" t="n">
        <v>0</v>
      </c>
    </row>
    <row r="71">
      <c r="A71" s="42" t="inlineStr">
        <is>
          <t xml:space="preserve">    Капитализированный R&amp;D (млн ₽)</t>
        </is>
      </c>
      <c r="B71" s="43" t="inlineStr">
        <is>
          <t>млн ₽</t>
        </is>
      </c>
      <c r="C71" s="53">
        <f>SUM(BN71:BR71)</f>
        <v/>
      </c>
      <c r="D71" s="45" t="inlineStr"/>
      <c r="E71" s="46" t="inlineStr">
        <is>
          <t>·</t>
        </is>
      </c>
      <c r="F71" s="46" t="inlineStr">
        <is>
          <t>·</t>
        </is>
      </c>
      <c r="G71" s="46" t="inlineStr">
        <is>
          <t>·</t>
        </is>
      </c>
      <c r="H71" s="46" t="inlineStr">
        <is>
          <t>·</t>
        </is>
      </c>
      <c r="I71" s="46" t="inlineStr">
        <is>
          <t>·</t>
        </is>
      </c>
      <c r="J71" s="46" t="inlineStr">
        <is>
          <t>·</t>
        </is>
      </c>
      <c r="K71" s="46" t="inlineStr">
        <is>
          <t>·</t>
        </is>
      </c>
      <c r="L71" s="46" t="inlineStr">
        <is>
          <t>·</t>
        </is>
      </c>
      <c r="M71" s="46" t="inlineStr">
        <is>
          <t>·</t>
        </is>
      </c>
      <c r="N71" s="46" t="inlineStr">
        <is>
          <t>·</t>
        </is>
      </c>
      <c r="O71" s="46" t="inlineStr">
        <is>
          <t>·</t>
        </is>
      </c>
      <c r="P71" s="46" t="inlineStr">
        <is>
          <t>·</t>
        </is>
      </c>
      <c r="Q71" s="46" t="inlineStr">
        <is>
          <t>·</t>
        </is>
      </c>
      <c r="R71" s="46" t="inlineStr">
        <is>
          <t>·</t>
        </is>
      </c>
      <c r="S71" s="46" t="inlineStr">
        <is>
          <t>·</t>
        </is>
      </c>
      <c r="T71" s="46" t="inlineStr">
        <is>
          <t>·</t>
        </is>
      </c>
      <c r="U71" s="46" t="inlineStr">
        <is>
          <t>·</t>
        </is>
      </c>
      <c r="V71" s="46" t="inlineStr">
        <is>
          <t>·</t>
        </is>
      </c>
      <c r="W71" s="46" t="inlineStr">
        <is>
          <t>·</t>
        </is>
      </c>
      <c r="X71" s="46" t="inlineStr">
        <is>
          <t>·</t>
        </is>
      </c>
      <c r="Y71" s="46" t="inlineStr">
        <is>
          <t>·</t>
        </is>
      </c>
      <c r="Z71" s="46" t="inlineStr">
        <is>
          <t>·</t>
        </is>
      </c>
      <c r="AA71" s="46" t="inlineStr">
        <is>
          <t>·</t>
        </is>
      </c>
      <c r="AB71" s="46" t="inlineStr">
        <is>
          <t>·</t>
        </is>
      </c>
      <c r="AC71" s="46" t="inlineStr">
        <is>
          <t>·</t>
        </is>
      </c>
      <c r="AD71" s="46" t="inlineStr">
        <is>
          <t>·</t>
        </is>
      </c>
      <c r="AE71" s="46" t="inlineStr">
        <is>
          <t>·</t>
        </is>
      </c>
      <c r="AF71" s="46" t="inlineStr">
        <is>
          <t>·</t>
        </is>
      </c>
      <c r="AG71" s="46" t="inlineStr">
        <is>
          <t>·</t>
        </is>
      </c>
      <c r="AH71" s="46" t="inlineStr">
        <is>
          <t>·</t>
        </is>
      </c>
      <c r="AI71" s="46" t="inlineStr">
        <is>
          <t>·</t>
        </is>
      </c>
      <c r="AJ71" s="46" t="inlineStr">
        <is>
          <t>·</t>
        </is>
      </c>
      <c r="AK71" s="46" t="inlineStr">
        <is>
          <t>·</t>
        </is>
      </c>
      <c r="AL71" s="46" t="inlineStr">
        <is>
          <t>·</t>
        </is>
      </c>
      <c r="AM71" s="46" t="inlineStr">
        <is>
          <t>·</t>
        </is>
      </c>
      <c r="AN71" s="46" t="inlineStr">
        <is>
          <t>·</t>
        </is>
      </c>
      <c r="AO71" s="46" t="inlineStr">
        <is>
          <t>·</t>
        </is>
      </c>
      <c r="AP71" s="46" t="inlineStr">
        <is>
          <t>·</t>
        </is>
      </c>
      <c r="AQ71" s="46" t="inlineStr">
        <is>
          <t>·</t>
        </is>
      </c>
      <c r="AR71" s="46" t="inlineStr">
        <is>
          <t>·</t>
        </is>
      </c>
      <c r="AS71" s="46" t="inlineStr">
        <is>
          <t>·</t>
        </is>
      </c>
      <c r="AT71" s="46" t="inlineStr">
        <is>
          <t>·</t>
        </is>
      </c>
      <c r="AU71" s="46" t="inlineStr">
        <is>
          <t>·</t>
        </is>
      </c>
      <c r="AV71" s="46" t="inlineStr">
        <is>
          <t>·</t>
        </is>
      </c>
      <c r="AW71" s="46" t="inlineStr">
        <is>
          <t>·</t>
        </is>
      </c>
      <c r="AX71" s="46" t="inlineStr">
        <is>
          <t>·</t>
        </is>
      </c>
      <c r="AY71" s="46" t="inlineStr">
        <is>
          <t>·</t>
        </is>
      </c>
      <c r="AZ71" s="46" t="inlineStr">
        <is>
          <t>·</t>
        </is>
      </c>
      <c r="BA71" s="46" t="inlineStr">
        <is>
          <t>·</t>
        </is>
      </c>
      <c r="BB71" s="46" t="inlineStr">
        <is>
          <t>·</t>
        </is>
      </c>
      <c r="BC71" s="46" t="inlineStr">
        <is>
          <t>·</t>
        </is>
      </c>
      <c r="BD71" s="46" t="inlineStr">
        <is>
          <t>·</t>
        </is>
      </c>
      <c r="BE71" s="46" t="inlineStr">
        <is>
          <t>·</t>
        </is>
      </c>
      <c r="BF71" s="46" t="inlineStr">
        <is>
          <t>·</t>
        </is>
      </c>
      <c r="BG71" s="46" t="inlineStr">
        <is>
          <t>·</t>
        </is>
      </c>
      <c r="BH71" s="46" t="inlineStr">
        <is>
          <t>·</t>
        </is>
      </c>
      <c r="BI71" s="46" t="inlineStr">
        <is>
          <t>·</t>
        </is>
      </c>
      <c r="BJ71" s="46" t="inlineStr">
        <is>
          <t>·</t>
        </is>
      </c>
      <c r="BK71" s="46" t="inlineStr">
        <is>
          <t>·</t>
        </is>
      </c>
      <c r="BL71" s="46" t="inlineStr">
        <is>
          <t>·</t>
        </is>
      </c>
      <c r="BN71" s="61" t="n">
        <v>0</v>
      </c>
      <c r="BO71" s="61" t="n">
        <v>0</v>
      </c>
      <c r="BP71" s="61" t="n">
        <v>0</v>
      </c>
      <c r="BQ71" s="61" t="n">
        <v>0</v>
      </c>
      <c r="BR71" s="61" t="n">
        <v>0</v>
      </c>
    </row>
    <row r="72"/>
    <row r="73" ht="22" customHeight="1">
      <c r="A73" s="62" t="inlineStr">
        <is>
          <t xml:space="preserve">  АМОРТИЗАЦИЯ — СПИ (Группа IV: свыше 5 до 7 лет)</t>
        </is>
      </c>
    </row>
    <row r="74">
      <c r="A74" s="42" t="inlineStr">
        <is>
          <t xml:space="preserve">    Средний СПИ, лет (НК РФ ст.258)</t>
        </is>
      </c>
      <c r="B74" s="43" t="inlineStr">
        <is>
          <t>лет</t>
        </is>
      </c>
      <c r="C74" s="48" t="inlineStr">
        <is>
          <t>—</t>
        </is>
      </c>
      <c r="D74" s="45" t="inlineStr"/>
      <c r="E74" s="46" t="inlineStr">
        <is>
          <t>·</t>
        </is>
      </c>
      <c r="F74" s="46" t="inlineStr">
        <is>
          <t>·</t>
        </is>
      </c>
      <c r="G74" s="46" t="inlineStr">
        <is>
          <t>·</t>
        </is>
      </c>
      <c r="H74" s="46" t="inlineStr">
        <is>
          <t>·</t>
        </is>
      </c>
      <c r="I74" s="46" t="inlineStr">
        <is>
          <t>·</t>
        </is>
      </c>
      <c r="J74" s="46" t="inlineStr">
        <is>
          <t>·</t>
        </is>
      </c>
      <c r="K74" s="46" t="inlineStr">
        <is>
          <t>·</t>
        </is>
      </c>
      <c r="L74" s="46" t="inlineStr">
        <is>
          <t>·</t>
        </is>
      </c>
      <c r="M74" s="46" t="inlineStr">
        <is>
          <t>·</t>
        </is>
      </c>
      <c r="N74" s="46" t="inlineStr">
        <is>
          <t>·</t>
        </is>
      </c>
      <c r="O74" s="46" t="inlineStr">
        <is>
          <t>·</t>
        </is>
      </c>
      <c r="P74" s="46" t="inlineStr">
        <is>
          <t>·</t>
        </is>
      </c>
      <c r="Q74" s="46" t="inlineStr">
        <is>
          <t>·</t>
        </is>
      </c>
      <c r="R74" s="46" t="inlineStr">
        <is>
          <t>·</t>
        </is>
      </c>
      <c r="S74" s="46" t="inlineStr">
        <is>
          <t>·</t>
        </is>
      </c>
      <c r="T74" s="46" t="inlineStr">
        <is>
          <t>·</t>
        </is>
      </c>
      <c r="U74" s="46" t="inlineStr">
        <is>
          <t>·</t>
        </is>
      </c>
      <c r="V74" s="46" t="inlineStr">
        <is>
          <t>·</t>
        </is>
      </c>
      <c r="W74" s="46" t="inlineStr">
        <is>
          <t>·</t>
        </is>
      </c>
      <c r="X74" s="46" t="inlineStr">
        <is>
          <t>·</t>
        </is>
      </c>
      <c r="Y74" s="46" t="inlineStr">
        <is>
          <t>·</t>
        </is>
      </c>
      <c r="Z74" s="46" t="inlineStr">
        <is>
          <t>·</t>
        </is>
      </c>
      <c r="AA74" s="46" t="inlineStr">
        <is>
          <t>·</t>
        </is>
      </c>
      <c r="AB74" s="46" t="inlineStr">
        <is>
          <t>·</t>
        </is>
      </c>
      <c r="AC74" s="46" t="inlineStr">
        <is>
          <t>·</t>
        </is>
      </c>
      <c r="AD74" s="46" t="inlineStr">
        <is>
          <t>·</t>
        </is>
      </c>
      <c r="AE74" s="46" t="inlineStr">
        <is>
          <t>·</t>
        </is>
      </c>
      <c r="AF74" s="46" t="inlineStr">
        <is>
          <t>·</t>
        </is>
      </c>
      <c r="AG74" s="46" t="inlineStr">
        <is>
          <t>·</t>
        </is>
      </c>
      <c r="AH74" s="46" t="inlineStr">
        <is>
          <t>·</t>
        </is>
      </c>
      <c r="AI74" s="46" t="inlineStr">
        <is>
          <t>·</t>
        </is>
      </c>
      <c r="AJ74" s="46" t="inlineStr">
        <is>
          <t>·</t>
        </is>
      </c>
      <c r="AK74" s="46" t="inlineStr">
        <is>
          <t>·</t>
        </is>
      </c>
      <c r="AL74" s="46" t="inlineStr">
        <is>
          <t>·</t>
        </is>
      </c>
      <c r="AM74" s="46" t="inlineStr">
        <is>
          <t>·</t>
        </is>
      </c>
      <c r="AN74" s="46" t="inlineStr">
        <is>
          <t>·</t>
        </is>
      </c>
      <c r="AO74" s="46" t="inlineStr">
        <is>
          <t>·</t>
        </is>
      </c>
      <c r="AP74" s="46" t="inlineStr">
        <is>
          <t>·</t>
        </is>
      </c>
      <c r="AQ74" s="46" t="inlineStr">
        <is>
          <t>·</t>
        </is>
      </c>
      <c r="AR74" s="46" t="inlineStr">
        <is>
          <t>·</t>
        </is>
      </c>
      <c r="AS74" s="46" t="inlineStr">
        <is>
          <t>·</t>
        </is>
      </c>
      <c r="AT74" s="46" t="inlineStr">
        <is>
          <t>·</t>
        </is>
      </c>
      <c r="AU74" s="46" t="inlineStr">
        <is>
          <t>·</t>
        </is>
      </c>
      <c r="AV74" s="46" t="inlineStr">
        <is>
          <t>·</t>
        </is>
      </c>
      <c r="AW74" s="46" t="inlineStr">
        <is>
          <t>·</t>
        </is>
      </c>
      <c r="AX74" s="46" t="inlineStr">
        <is>
          <t>·</t>
        </is>
      </c>
      <c r="AY74" s="46" t="inlineStr">
        <is>
          <t>·</t>
        </is>
      </c>
      <c r="AZ74" s="46" t="inlineStr">
        <is>
          <t>·</t>
        </is>
      </c>
      <c r="BA74" s="46" t="inlineStr">
        <is>
          <t>·</t>
        </is>
      </c>
      <c r="BB74" s="46" t="inlineStr">
        <is>
          <t>·</t>
        </is>
      </c>
      <c r="BC74" s="46" t="inlineStr">
        <is>
          <t>·</t>
        </is>
      </c>
      <c r="BD74" s="46" t="inlineStr">
        <is>
          <t>·</t>
        </is>
      </c>
      <c r="BE74" s="46" t="inlineStr">
        <is>
          <t>·</t>
        </is>
      </c>
      <c r="BF74" s="46" t="inlineStr">
        <is>
          <t>·</t>
        </is>
      </c>
      <c r="BG74" s="46" t="inlineStr">
        <is>
          <t>·</t>
        </is>
      </c>
      <c r="BH74" s="46" t="inlineStr">
        <is>
          <t>·</t>
        </is>
      </c>
      <c r="BI74" s="46" t="inlineStr">
        <is>
          <t>·</t>
        </is>
      </c>
      <c r="BJ74" s="46" t="inlineStr">
        <is>
          <t>·</t>
        </is>
      </c>
      <c r="BK74" s="46" t="inlineStr">
        <is>
          <t>·</t>
        </is>
      </c>
      <c r="BL74" s="46" t="inlineStr">
        <is>
          <t>·</t>
        </is>
      </c>
      <c r="BN74" s="63" t="n">
        <v>8.289999999999999</v>
      </c>
      <c r="BO74" s="64">
        <f>BN74</f>
        <v/>
      </c>
      <c r="BP74" s="64">
        <f>BN74</f>
        <v/>
      </c>
      <c r="BQ74" s="64">
        <f>BN74</f>
        <v/>
      </c>
      <c r="BR74" s="64">
        <f>BN74</f>
        <v/>
      </c>
    </row>
    <row r="75">
      <c r="A75" s="42" t="inlineStr">
        <is>
          <t xml:space="preserve">    Gross PP&amp;E Год 0 (начальный баланс) — ВВОД</t>
        </is>
      </c>
      <c r="B75" s="43" t="inlineStr">
        <is>
          <t>млн ₽</t>
        </is>
      </c>
      <c r="C75" s="48" t="inlineStr">
        <is>
          <t>—</t>
        </is>
      </c>
      <c r="D75" s="45" t="inlineStr"/>
      <c r="E75" s="46" t="inlineStr">
        <is>
          <t>·</t>
        </is>
      </c>
      <c r="F75" s="46" t="inlineStr">
        <is>
          <t>·</t>
        </is>
      </c>
      <c r="G75" s="46" t="inlineStr">
        <is>
          <t>·</t>
        </is>
      </c>
      <c r="H75" s="46" t="inlineStr">
        <is>
          <t>·</t>
        </is>
      </c>
      <c r="I75" s="46" t="inlineStr">
        <is>
          <t>·</t>
        </is>
      </c>
      <c r="J75" s="46" t="inlineStr">
        <is>
          <t>·</t>
        </is>
      </c>
      <c r="K75" s="46" t="inlineStr">
        <is>
          <t>·</t>
        </is>
      </c>
      <c r="L75" s="46" t="inlineStr">
        <is>
          <t>·</t>
        </is>
      </c>
      <c r="M75" s="46" t="inlineStr">
        <is>
          <t>·</t>
        </is>
      </c>
      <c r="N75" s="46" t="inlineStr">
        <is>
          <t>·</t>
        </is>
      </c>
      <c r="O75" s="46" t="inlineStr">
        <is>
          <t>·</t>
        </is>
      </c>
      <c r="P75" s="46" t="inlineStr">
        <is>
          <t>·</t>
        </is>
      </c>
      <c r="Q75" s="46" t="inlineStr">
        <is>
          <t>·</t>
        </is>
      </c>
      <c r="R75" s="46" t="inlineStr">
        <is>
          <t>·</t>
        </is>
      </c>
      <c r="S75" s="46" t="inlineStr">
        <is>
          <t>·</t>
        </is>
      </c>
      <c r="T75" s="46" t="inlineStr">
        <is>
          <t>·</t>
        </is>
      </c>
      <c r="U75" s="46" t="inlineStr">
        <is>
          <t>·</t>
        </is>
      </c>
      <c r="V75" s="46" t="inlineStr">
        <is>
          <t>·</t>
        </is>
      </c>
      <c r="W75" s="46" t="inlineStr">
        <is>
          <t>·</t>
        </is>
      </c>
      <c r="X75" s="46" t="inlineStr">
        <is>
          <t>·</t>
        </is>
      </c>
      <c r="Y75" s="46" t="inlineStr">
        <is>
          <t>·</t>
        </is>
      </c>
      <c r="Z75" s="46" t="inlineStr">
        <is>
          <t>·</t>
        </is>
      </c>
      <c r="AA75" s="46" t="inlineStr">
        <is>
          <t>·</t>
        </is>
      </c>
      <c r="AB75" s="46" t="inlineStr">
        <is>
          <t>·</t>
        </is>
      </c>
      <c r="AC75" s="46" t="inlineStr">
        <is>
          <t>·</t>
        </is>
      </c>
      <c r="AD75" s="46" t="inlineStr">
        <is>
          <t>·</t>
        </is>
      </c>
      <c r="AE75" s="46" t="inlineStr">
        <is>
          <t>·</t>
        </is>
      </c>
      <c r="AF75" s="46" t="inlineStr">
        <is>
          <t>·</t>
        </is>
      </c>
      <c r="AG75" s="46" t="inlineStr">
        <is>
          <t>·</t>
        </is>
      </c>
      <c r="AH75" s="46" t="inlineStr">
        <is>
          <t>·</t>
        </is>
      </c>
      <c r="AI75" s="46" t="inlineStr">
        <is>
          <t>·</t>
        </is>
      </c>
      <c r="AJ75" s="46" t="inlineStr">
        <is>
          <t>·</t>
        </is>
      </c>
      <c r="AK75" s="46" t="inlineStr">
        <is>
          <t>·</t>
        </is>
      </c>
      <c r="AL75" s="46" t="inlineStr">
        <is>
          <t>·</t>
        </is>
      </c>
      <c r="AM75" s="46" t="inlineStr">
        <is>
          <t>·</t>
        </is>
      </c>
      <c r="AN75" s="46" t="inlineStr">
        <is>
          <t>·</t>
        </is>
      </c>
      <c r="AO75" s="46" t="inlineStr">
        <is>
          <t>·</t>
        </is>
      </c>
      <c r="AP75" s="46" t="inlineStr">
        <is>
          <t>·</t>
        </is>
      </c>
      <c r="AQ75" s="46" t="inlineStr">
        <is>
          <t>·</t>
        </is>
      </c>
      <c r="AR75" s="46" t="inlineStr">
        <is>
          <t>·</t>
        </is>
      </c>
      <c r="AS75" s="46" t="inlineStr">
        <is>
          <t>·</t>
        </is>
      </c>
      <c r="AT75" s="46" t="inlineStr">
        <is>
          <t>·</t>
        </is>
      </c>
      <c r="AU75" s="46" t="inlineStr">
        <is>
          <t>·</t>
        </is>
      </c>
      <c r="AV75" s="46" t="inlineStr">
        <is>
          <t>·</t>
        </is>
      </c>
      <c r="AW75" s="46" t="inlineStr">
        <is>
          <t>·</t>
        </is>
      </c>
      <c r="AX75" s="46" t="inlineStr">
        <is>
          <t>·</t>
        </is>
      </c>
      <c r="AY75" s="46" t="inlineStr">
        <is>
          <t>·</t>
        </is>
      </c>
      <c r="AZ75" s="46" t="inlineStr">
        <is>
          <t>·</t>
        </is>
      </c>
      <c r="BA75" s="46" t="inlineStr">
        <is>
          <t>·</t>
        </is>
      </c>
      <c r="BB75" s="46" t="inlineStr">
        <is>
          <t>·</t>
        </is>
      </c>
      <c r="BC75" s="46" t="inlineStr">
        <is>
          <t>·</t>
        </is>
      </c>
      <c r="BD75" s="46" t="inlineStr">
        <is>
          <t>·</t>
        </is>
      </c>
      <c r="BE75" s="46" t="inlineStr">
        <is>
          <t>·</t>
        </is>
      </c>
      <c r="BF75" s="46" t="inlineStr">
        <is>
          <t>·</t>
        </is>
      </c>
      <c r="BG75" s="46" t="inlineStr">
        <is>
          <t>·</t>
        </is>
      </c>
      <c r="BH75" s="46" t="inlineStr">
        <is>
          <t>·</t>
        </is>
      </c>
      <c r="BI75" s="46" t="inlineStr">
        <is>
          <t>·</t>
        </is>
      </c>
      <c r="BJ75" s="46" t="inlineStr">
        <is>
          <t>·</t>
        </is>
      </c>
      <c r="BK75" s="46" t="inlineStr">
        <is>
          <t>·</t>
        </is>
      </c>
      <c r="BL75" s="46" t="inlineStr">
        <is>
          <t>·</t>
        </is>
      </c>
      <c r="BN75" s="61" t="n">
        <v>184.25</v>
      </c>
      <c r="BO75" s="42" t="inlineStr"/>
      <c r="BP75" s="42" t="inlineStr"/>
      <c r="BQ75" s="42" t="inlineStr"/>
      <c r="BR75" s="42" t="inlineStr"/>
    </row>
    <row r="76">
      <c r="A76" s="42" t="inlineStr">
        <is>
          <t xml:space="preserve">    Накопл. амортизация Год 0 (нач. баланс) — ВВОД</t>
        </is>
      </c>
      <c r="B76" s="43" t="inlineStr">
        <is>
          <t>млн ₽</t>
        </is>
      </c>
      <c r="C76" s="48" t="inlineStr">
        <is>
          <t>—</t>
        </is>
      </c>
      <c r="D76" s="45" t="inlineStr"/>
      <c r="E76" s="46" t="inlineStr">
        <is>
          <t>·</t>
        </is>
      </c>
      <c r="F76" s="46" t="inlineStr">
        <is>
          <t>·</t>
        </is>
      </c>
      <c r="G76" s="46" t="inlineStr">
        <is>
          <t>·</t>
        </is>
      </c>
      <c r="H76" s="46" t="inlineStr">
        <is>
          <t>·</t>
        </is>
      </c>
      <c r="I76" s="46" t="inlineStr">
        <is>
          <t>·</t>
        </is>
      </c>
      <c r="J76" s="46" t="inlineStr">
        <is>
          <t>·</t>
        </is>
      </c>
      <c r="K76" s="46" t="inlineStr">
        <is>
          <t>·</t>
        </is>
      </c>
      <c r="L76" s="46" t="inlineStr">
        <is>
          <t>·</t>
        </is>
      </c>
      <c r="M76" s="46" t="inlineStr">
        <is>
          <t>·</t>
        </is>
      </c>
      <c r="N76" s="46" t="inlineStr">
        <is>
          <t>·</t>
        </is>
      </c>
      <c r="O76" s="46" t="inlineStr">
        <is>
          <t>·</t>
        </is>
      </c>
      <c r="P76" s="46" t="inlineStr">
        <is>
          <t>·</t>
        </is>
      </c>
      <c r="Q76" s="46" t="inlineStr">
        <is>
          <t>·</t>
        </is>
      </c>
      <c r="R76" s="46" t="inlineStr">
        <is>
          <t>·</t>
        </is>
      </c>
      <c r="S76" s="46" t="inlineStr">
        <is>
          <t>·</t>
        </is>
      </c>
      <c r="T76" s="46" t="inlineStr">
        <is>
          <t>·</t>
        </is>
      </c>
      <c r="U76" s="46" t="inlineStr">
        <is>
          <t>·</t>
        </is>
      </c>
      <c r="V76" s="46" t="inlineStr">
        <is>
          <t>·</t>
        </is>
      </c>
      <c r="W76" s="46" t="inlineStr">
        <is>
          <t>·</t>
        </is>
      </c>
      <c r="X76" s="46" t="inlineStr">
        <is>
          <t>·</t>
        </is>
      </c>
      <c r="Y76" s="46" t="inlineStr">
        <is>
          <t>·</t>
        </is>
      </c>
      <c r="Z76" s="46" t="inlineStr">
        <is>
          <t>·</t>
        </is>
      </c>
      <c r="AA76" s="46" t="inlineStr">
        <is>
          <t>·</t>
        </is>
      </c>
      <c r="AB76" s="46" t="inlineStr">
        <is>
          <t>·</t>
        </is>
      </c>
      <c r="AC76" s="46" t="inlineStr">
        <is>
          <t>·</t>
        </is>
      </c>
      <c r="AD76" s="46" t="inlineStr">
        <is>
          <t>·</t>
        </is>
      </c>
      <c r="AE76" s="46" t="inlineStr">
        <is>
          <t>·</t>
        </is>
      </c>
      <c r="AF76" s="46" t="inlineStr">
        <is>
          <t>·</t>
        </is>
      </c>
      <c r="AG76" s="46" t="inlineStr">
        <is>
          <t>·</t>
        </is>
      </c>
      <c r="AH76" s="46" t="inlineStr">
        <is>
          <t>·</t>
        </is>
      </c>
      <c r="AI76" s="46" t="inlineStr">
        <is>
          <t>·</t>
        </is>
      </c>
      <c r="AJ76" s="46" t="inlineStr">
        <is>
          <t>·</t>
        </is>
      </c>
      <c r="AK76" s="46" t="inlineStr">
        <is>
          <t>·</t>
        </is>
      </c>
      <c r="AL76" s="46" t="inlineStr">
        <is>
          <t>·</t>
        </is>
      </c>
      <c r="AM76" s="46" t="inlineStr">
        <is>
          <t>·</t>
        </is>
      </c>
      <c r="AN76" s="46" t="inlineStr">
        <is>
          <t>·</t>
        </is>
      </c>
      <c r="AO76" s="46" t="inlineStr">
        <is>
          <t>·</t>
        </is>
      </c>
      <c r="AP76" s="46" t="inlineStr">
        <is>
          <t>·</t>
        </is>
      </c>
      <c r="AQ76" s="46" t="inlineStr">
        <is>
          <t>·</t>
        </is>
      </c>
      <c r="AR76" s="46" t="inlineStr">
        <is>
          <t>·</t>
        </is>
      </c>
      <c r="AS76" s="46" t="inlineStr">
        <is>
          <t>·</t>
        </is>
      </c>
      <c r="AT76" s="46" t="inlineStr">
        <is>
          <t>·</t>
        </is>
      </c>
      <c r="AU76" s="46" t="inlineStr">
        <is>
          <t>·</t>
        </is>
      </c>
      <c r="AV76" s="46" t="inlineStr">
        <is>
          <t>·</t>
        </is>
      </c>
      <c r="AW76" s="46" t="inlineStr">
        <is>
          <t>·</t>
        </is>
      </c>
      <c r="AX76" s="46" t="inlineStr">
        <is>
          <t>·</t>
        </is>
      </c>
      <c r="AY76" s="46" t="inlineStr">
        <is>
          <t>·</t>
        </is>
      </c>
      <c r="AZ76" s="46" t="inlineStr">
        <is>
          <t>·</t>
        </is>
      </c>
      <c r="BA76" s="46" t="inlineStr">
        <is>
          <t>·</t>
        </is>
      </c>
      <c r="BB76" s="46" t="inlineStr">
        <is>
          <t>·</t>
        </is>
      </c>
      <c r="BC76" s="46" t="inlineStr">
        <is>
          <t>·</t>
        </is>
      </c>
      <c r="BD76" s="46" t="inlineStr">
        <is>
          <t>·</t>
        </is>
      </c>
      <c r="BE76" s="46" t="inlineStr">
        <is>
          <t>·</t>
        </is>
      </c>
      <c r="BF76" s="46" t="inlineStr">
        <is>
          <t>·</t>
        </is>
      </c>
      <c r="BG76" s="46" t="inlineStr">
        <is>
          <t>·</t>
        </is>
      </c>
      <c r="BH76" s="46" t="inlineStr">
        <is>
          <t>·</t>
        </is>
      </c>
      <c r="BI76" s="46" t="inlineStr">
        <is>
          <t>·</t>
        </is>
      </c>
      <c r="BJ76" s="46" t="inlineStr">
        <is>
          <t>·</t>
        </is>
      </c>
      <c r="BK76" s="46" t="inlineStr">
        <is>
          <t>·</t>
        </is>
      </c>
      <c r="BL76" s="46" t="inlineStr">
        <is>
          <t>·</t>
        </is>
      </c>
      <c r="BN76" s="61" t="n">
        <v>0</v>
      </c>
      <c r="BO76" s="42" t="inlineStr"/>
      <c r="BP76" s="42" t="inlineStr"/>
      <c r="BQ76" s="42" t="inlineStr"/>
      <c r="BR76" s="42" t="inlineStr"/>
    </row>
    <row r="77"/>
    <row r="78" ht="22" customHeight="1">
      <c r="A78" s="41" t="inlineStr">
        <is>
          <t xml:space="preserve">  ДОЛГОВОЕ ФИНАНСИРОВАНИЕ — ДОПУЩЕНИЯ</t>
        </is>
      </c>
    </row>
    <row r="79">
      <c r="A79" s="42" t="inlineStr">
        <is>
          <t xml:space="preserve">    Долг Год 0 — ВВОД</t>
        </is>
      </c>
      <c r="B79" s="43" t="inlineStr">
        <is>
          <t>млн ₽</t>
        </is>
      </c>
      <c r="C79" s="48" t="inlineStr">
        <is>
          <t>—</t>
        </is>
      </c>
      <c r="D79" s="45" t="inlineStr"/>
      <c r="E79" s="46" t="inlineStr">
        <is>
          <t>·</t>
        </is>
      </c>
      <c r="F79" s="46" t="inlineStr">
        <is>
          <t>·</t>
        </is>
      </c>
      <c r="G79" s="46" t="inlineStr">
        <is>
          <t>·</t>
        </is>
      </c>
      <c r="H79" s="46" t="inlineStr">
        <is>
          <t>·</t>
        </is>
      </c>
      <c r="I79" s="46" t="inlineStr">
        <is>
          <t>·</t>
        </is>
      </c>
      <c r="J79" s="46" t="inlineStr">
        <is>
          <t>·</t>
        </is>
      </c>
      <c r="K79" s="46" t="inlineStr">
        <is>
          <t>·</t>
        </is>
      </c>
      <c r="L79" s="46" t="inlineStr">
        <is>
          <t>·</t>
        </is>
      </c>
      <c r="M79" s="46" t="inlineStr">
        <is>
          <t>·</t>
        </is>
      </c>
      <c r="N79" s="46" t="inlineStr">
        <is>
          <t>·</t>
        </is>
      </c>
      <c r="O79" s="46" t="inlineStr">
        <is>
          <t>·</t>
        </is>
      </c>
      <c r="P79" s="46" t="inlineStr">
        <is>
          <t>·</t>
        </is>
      </c>
      <c r="Q79" s="46" t="inlineStr">
        <is>
          <t>·</t>
        </is>
      </c>
      <c r="R79" s="46" t="inlineStr">
        <is>
          <t>·</t>
        </is>
      </c>
      <c r="S79" s="46" t="inlineStr">
        <is>
          <t>·</t>
        </is>
      </c>
      <c r="T79" s="46" t="inlineStr">
        <is>
          <t>·</t>
        </is>
      </c>
      <c r="U79" s="46" t="inlineStr">
        <is>
          <t>·</t>
        </is>
      </c>
      <c r="V79" s="46" t="inlineStr">
        <is>
          <t>·</t>
        </is>
      </c>
      <c r="W79" s="46" t="inlineStr">
        <is>
          <t>·</t>
        </is>
      </c>
      <c r="X79" s="46" t="inlineStr">
        <is>
          <t>·</t>
        </is>
      </c>
      <c r="Y79" s="46" t="inlineStr">
        <is>
          <t>·</t>
        </is>
      </c>
      <c r="Z79" s="46" t="inlineStr">
        <is>
          <t>·</t>
        </is>
      </c>
      <c r="AA79" s="46" t="inlineStr">
        <is>
          <t>·</t>
        </is>
      </c>
      <c r="AB79" s="46" t="inlineStr">
        <is>
          <t>·</t>
        </is>
      </c>
      <c r="AC79" s="46" t="inlineStr">
        <is>
          <t>·</t>
        </is>
      </c>
      <c r="AD79" s="46" t="inlineStr">
        <is>
          <t>·</t>
        </is>
      </c>
      <c r="AE79" s="46" t="inlineStr">
        <is>
          <t>·</t>
        </is>
      </c>
      <c r="AF79" s="46" t="inlineStr">
        <is>
          <t>·</t>
        </is>
      </c>
      <c r="AG79" s="46" t="inlineStr">
        <is>
          <t>·</t>
        </is>
      </c>
      <c r="AH79" s="46" t="inlineStr">
        <is>
          <t>·</t>
        </is>
      </c>
      <c r="AI79" s="46" t="inlineStr">
        <is>
          <t>·</t>
        </is>
      </c>
      <c r="AJ79" s="46" t="inlineStr">
        <is>
          <t>·</t>
        </is>
      </c>
      <c r="AK79" s="46" t="inlineStr">
        <is>
          <t>·</t>
        </is>
      </c>
      <c r="AL79" s="46" t="inlineStr">
        <is>
          <t>·</t>
        </is>
      </c>
      <c r="AM79" s="46" t="inlineStr">
        <is>
          <t>·</t>
        </is>
      </c>
      <c r="AN79" s="46" t="inlineStr">
        <is>
          <t>·</t>
        </is>
      </c>
      <c r="AO79" s="46" t="inlineStr">
        <is>
          <t>·</t>
        </is>
      </c>
      <c r="AP79" s="46" t="inlineStr">
        <is>
          <t>·</t>
        </is>
      </c>
      <c r="AQ79" s="46" t="inlineStr">
        <is>
          <t>·</t>
        </is>
      </c>
      <c r="AR79" s="46" t="inlineStr">
        <is>
          <t>·</t>
        </is>
      </c>
      <c r="AS79" s="46" t="inlineStr">
        <is>
          <t>·</t>
        </is>
      </c>
      <c r="AT79" s="46" t="inlineStr">
        <is>
          <t>·</t>
        </is>
      </c>
      <c r="AU79" s="46" t="inlineStr">
        <is>
          <t>·</t>
        </is>
      </c>
      <c r="AV79" s="46" t="inlineStr">
        <is>
          <t>·</t>
        </is>
      </c>
      <c r="AW79" s="46" t="inlineStr">
        <is>
          <t>·</t>
        </is>
      </c>
      <c r="AX79" s="46" t="inlineStr">
        <is>
          <t>·</t>
        </is>
      </c>
      <c r="AY79" s="46" t="inlineStr">
        <is>
          <t>·</t>
        </is>
      </c>
      <c r="AZ79" s="46" t="inlineStr">
        <is>
          <t>·</t>
        </is>
      </c>
      <c r="BA79" s="46" t="inlineStr">
        <is>
          <t>·</t>
        </is>
      </c>
      <c r="BB79" s="46" t="inlineStr">
        <is>
          <t>·</t>
        </is>
      </c>
      <c r="BC79" s="46" t="inlineStr">
        <is>
          <t>·</t>
        </is>
      </c>
      <c r="BD79" s="46" t="inlineStr">
        <is>
          <t>·</t>
        </is>
      </c>
      <c r="BE79" s="46" t="inlineStr">
        <is>
          <t>·</t>
        </is>
      </c>
      <c r="BF79" s="46" t="inlineStr">
        <is>
          <t>·</t>
        </is>
      </c>
      <c r="BG79" s="46" t="inlineStr">
        <is>
          <t>·</t>
        </is>
      </c>
      <c r="BH79" s="46" t="inlineStr">
        <is>
          <t>·</t>
        </is>
      </c>
      <c r="BI79" s="46" t="inlineStr">
        <is>
          <t>·</t>
        </is>
      </c>
      <c r="BJ79" s="46" t="inlineStr">
        <is>
          <t>·</t>
        </is>
      </c>
      <c r="BK79" s="46" t="inlineStr">
        <is>
          <t>·</t>
        </is>
      </c>
      <c r="BL79" s="46" t="inlineStr">
        <is>
          <t>·</t>
        </is>
      </c>
      <c r="BN79" s="61" t="n">
        <v>73.7</v>
      </c>
      <c r="BO79" s="42" t="inlineStr"/>
      <c r="BP79" s="42" t="inlineStr"/>
      <c r="BQ79" s="42" t="inlineStr"/>
      <c r="BR79" s="42" t="inlineStr"/>
    </row>
    <row r="80">
      <c r="A80" s="42" t="inlineStr">
        <is>
          <t xml:space="preserve">    Ставка по долгу, %/год</t>
        </is>
      </c>
      <c r="B80" s="43" t="inlineStr">
        <is>
          <t>%</t>
        </is>
      </c>
      <c r="C80" s="48" t="inlineStr">
        <is>
          <t>—</t>
        </is>
      </c>
      <c r="D80" s="45" t="inlineStr"/>
      <c r="E80" s="46" t="inlineStr">
        <is>
          <t>·</t>
        </is>
      </c>
      <c r="F80" s="46" t="inlineStr">
        <is>
          <t>·</t>
        </is>
      </c>
      <c r="G80" s="46" t="inlineStr">
        <is>
          <t>·</t>
        </is>
      </c>
      <c r="H80" s="46" t="inlineStr">
        <is>
          <t>·</t>
        </is>
      </c>
      <c r="I80" s="46" t="inlineStr">
        <is>
          <t>·</t>
        </is>
      </c>
      <c r="J80" s="46" t="inlineStr">
        <is>
          <t>·</t>
        </is>
      </c>
      <c r="K80" s="46" t="inlineStr">
        <is>
          <t>·</t>
        </is>
      </c>
      <c r="L80" s="46" t="inlineStr">
        <is>
          <t>·</t>
        </is>
      </c>
      <c r="M80" s="46" t="inlineStr">
        <is>
          <t>·</t>
        </is>
      </c>
      <c r="N80" s="46" t="inlineStr">
        <is>
          <t>·</t>
        </is>
      </c>
      <c r="O80" s="46" t="inlineStr">
        <is>
          <t>·</t>
        </is>
      </c>
      <c r="P80" s="46" t="inlineStr">
        <is>
          <t>·</t>
        </is>
      </c>
      <c r="Q80" s="46" t="inlineStr">
        <is>
          <t>·</t>
        </is>
      </c>
      <c r="R80" s="46" t="inlineStr">
        <is>
          <t>·</t>
        </is>
      </c>
      <c r="S80" s="46" t="inlineStr">
        <is>
          <t>·</t>
        </is>
      </c>
      <c r="T80" s="46" t="inlineStr">
        <is>
          <t>·</t>
        </is>
      </c>
      <c r="U80" s="46" t="inlineStr">
        <is>
          <t>·</t>
        </is>
      </c>
      <c r="V80" s="46" t="inlineStr">
        <is>
          <t>·</t>
        </is>
      </c>
      <c r="W80" s="46" t="inlineStr">
        <is>
          <t>·</t>
        </is>
      </c>
      <c r="X80" s="46" t="inlineStr">
        <is>
          <t>·</t>
        </is>
      </c>
      <c r="Y80" s="46" t="inlineStr">
        <is>
          <t>·</t>
        </is>
      </c>
      <c r="Z80" s="46" t="inlineStr">
        <is>
          <t>·</t>
        </is>
      </c>
      <c r="AA80" s="46" t="inlineStr">
        <is>
          <t>·</t>
        </is>
      </c>
      <c r="AB80" s="46" t="inlineStr">
        <is>
          <t>·</t>
        </is>
      </c>
      <c r="AC80" s="46" t="inlineStr">
        <is>
          <t>·</t>
        </is>
      </c>
      <c r="AD80" s="46" t="inlineStr">
        <is>
          <t>·</t>
        </is>
      </c>
      <c r="AE80" s="46" t="inlineStr">
        <is>
          <t>·</t>
        </is>
      </c>
      <c r="AF80" s="46" t="inlineStr">
        <is>
          <t>·</t>
        </is>
      </c>
      <c r="AG80" s="46" t="inlineStr">
        <is>
          <t>·</t>
        </is>
      </c>
      <c r="AH80" s="46" t="inlineStr">
        <is>
          <t>·</t>
        </is>
      </c>
      <c r="AI80" s="46" t="inlineStr">
        <is>
          <t>·</t>
        </is>
      </c>
      <c r="AJ80" s="46" t="inlineStr">
        <is>
          <t>·</t>
        </is>
      </c>
      <c r="AK80" s="46" t="inlineStr">
        <is>
          <t>·</t>
        </is>
      </c>
      <c r="AL80" s="46" t="inlineStr">
        <is>
          <t>·</t>
        </is>
      </c>
      <c r="AM80" s="46" t="inlineStr">
        <is>
          <t>·</t>
        </is>
      </c>
      <c r="AN80" s="46" t="inlineStr">
        <is>
          <t>·</t>
        </is>
      </c>
      <c r="AO80" s="46" t="inlineStr">
        <is>
          <t>·</t>
        </is>
      </c>
      <c r="AP80" s="46" t="inlineStr">
        <is>
          <t>·</t>
        </is>
      </c>
      <c r="AQ80" s="46" t="inlineStr">
        <is>
          <t>·</t>
        </is>
      </c>
      <c r="AR80" s="46" t="inlineStr">
        <is>
          <t>·</t>
        </is>
      </c>
      <c r="AS80" s="46" t="inlineStr">
        <is>
          <t>·</t>
        </is>
      </c>
      <c r="AT80" s="46" t="inlineStr">
        <is>
          <t>·</t>
        </is>
      </c>
      <c r="AU80" s="46" t="inlineStr">
        <is>
          <t>·</t>
        </is>
      </c>
      <c r="AV80" s="46" t="inlineStr">
        <is>
          <t>·</t>
        </is>
      </c>
      <c r="AW80" s="46" t="inlineStr">
        <is>
          <t>·</t>
        </is>
      </c>
      <c r="AX80" s="46" t="inlineStr">
        <is>
          <t>·</t>
        </is>
      </c>
      <c r="AY80" s="46" t="inlineStr">
        <is>
          <t>·</t>
        </is>
      </c>
      <c r="AZ80" s="46" t="inlineStr">
        <is>
          <t>·</t>
        </is>
      </c>
      <c r="BA80" s="46" t="inlineStr">
        <is>
          <t>·</t>
        </is>
      </c>
      <c r="BB80" s="46" t="inlineStr">
        <is>
          <t>·</t>
        </is>
      </c>
      <c r="BC80" s="46" t="inlineStr">
        <is>
          <t>·</t>
        </is>
      </c>
      <c r="BD80" s="46" t="inlineStr">
        <is>
          <t>·</t>
        </is>
      </c>
      <c r="BE80" s="46" t="inlineStr">
        <is>
          <t>·</t>
        </is>
      </c>
      <c r="BF80" s="46" t="inlineStr">
        <is>
          <t>·</t>
        </is>
      </c>
      <c r="BG80" s="46" t="inlineStr">
        <is>
          <t>·</t>
        </is>
      </c>
      <c r="BH80" s="46" t="inlineStr">
        <is>
          <t>·</t>
        </is>
      </c>
      <c r="BI80" s="46" t="inlineStr">
        <is>
          <t>·</t>
        </is>
      </c>
      <c r="BJ80" s="46" t="inlineStr">
        <is>
          <t>·</t>
        </is>
      </c>
      <c r="BK80" s="46" t="inlineStr">
        <is>
          <t>·</t>
        </is>
      </c>
      <c r="BL80" s="46" t="inlineStr">
        <is>
          <t>·</t>
        </is>
      </c>
      <c r="BN80" s="60">
        <f>E42+E43</f>
        <v/>
      </c>
      <c r="BO80" s="42" t="inlineStr"/>
      <c r="BP80" s="42" t="inlineStr"/>
      <c r="BQ80" s="42" t="inlineStr"/>
      <c r="BR80" s="42" t="inlineStr"/>
    </row>
    <row r="81">
      <c r="A81" s="42" t="inlineStr">
        <is>
          <t xml:space="preserve">    Срок кредита, лет — ВВОД</t>
        </is>
      </c>
      <c r="B81" s="43" t="inlineStr">
        <is>
          <t>лет</t>
        </is>
      </c>
      <c r="C81" s="48" t="inlineStr">
        <is>
          <t>—</t>
        </is>
      </c>
      <c r="D81" s="45" t="inlineStr"/>
      <c r="E81" s="46" t="inlineStr">
        <is>
          <t>·</t>
        </is>
      </c>
      <c r="F81" s="46" t="inlineStr">
        <is>
          <t>·</t>
        </is>
      </c>
      <c r="G81" s="46" t="inlineStr">
        <is>
          <t>·</t>
        </is>
      </c>
      <c r="H81" s="46" t="inlineStr">
        <is>
          <t>·</t>
        </is>
      </c>
      <c r="I81" s="46" t="inlineStr">
        <is>
          <t>·</t>
        </is>
      </c>
      <c r="J81" s="46" t="inlineStr">
        <is>
          <t>·</t>
        </is>
      </c>
      <c r="K81" s="46" t="inlineStr">
        <is>
          <t>·</t>
        </is>
      </c>
      <c r="L81" s="46" t="inlineStr">
        <is>
          <t>·</t>
        </is>
      </c>
      <c r="M81" s="46" t="inlineStr">
        <is>
          <t>·</t>
        </is>
      </c>
      <c r="N81" s="46" t="inlineStr">
        <is>
          <t>·</t>
        </is>
      </c>
      <c r="O81" s="46" t="inlineStr">
        <is>
          <t>·</t>
        </is>
      </c>
      <c r="P81" s="46" t="inlineStr">
        <is>
          <t>·</t>
        </is>
      </c>
      <c r="Q81" s="46" t="inlineStr">
        <is>
          <t>·</t>
        </is>
      </c>
      <c r="R81" s="46" t="inlineStr">
        <is>
          <t>·</t>
        </is>
      </c>
      <c r="S81" s="46" t="inlineStr">
        <is>
          <t>·</t>
        </is>
      </c>
      <c r="T81" s="46" t="inlineStr">
        <is>
          <t>·</t>
        </is>
      </c>
      <c r="U81" s="46" t="inlineStr">
        <is>
          <t>·</t>
        </is>
      </c>
      <c r="V81" s="46" t="inlineStr">
        <is>
          <t>·</t>
        </is>
      </c>
      <c r="W81" s="46" t="inlineStr">
        <is>
          <t>·</t>
        </is>
      </c>
      <c r="X81" s="46" t="inlineStr">
        <is>
          <t>·</t>
        </is>
      </c>
      <c r="Y81" s="46" t="inlineStr">
        <is>
          <t>·</t>
        </is>
      </c>
      <c r="Z81" s="46" t="inlineStr">
        <is>
          <t>·</t>
        </is>
      </c>
      <c r="AA81" s="46" t="inlineStr">
        <is>
          <t>·</t>
        </is>
      </c>
      <c r="AB81" s="46" t="inlineStr">
        <is>
          <t>·</t>
        </is>
      </c>
      <c r="AC81" s="46" t="inlineStr">
        <is>
          <t>·</t>
        </is>
      </c>
      <c r="AD81" s="46" t="inlineStr">
        <is>
          <t>·</t>
        </is>
      </c>
      <c r="AE81" s="46" t="inlineStr">
        <is>
          <t>·</t>
        </is>
      </c>
      <c r="AF81" s="46" t="inlineStr">
        <is>
          <t>·</t>
        </is>
      </c>
      <c r="AG81" s="46" t="inlineStr">
        <is>
          <t>·</t>
        </is>
      </c>
      <c r="AH81" s="46" t="inlineStr">
        <is>
          <t>·</t>
        </is>
      </c>
      <c r="AI81" s="46" t="inlineStr">
        <is>
          <t>·</t>
        </is>
      </c>
      <c r="AJ81" s="46" t="inlineStr">
        <is>
          <t>·</t>
        </is>
      </c>
      <c r="AK81" s="46" t="inlineStr">
        <is>
          <t>·</t>
        </is>
      </c>
      <c r="AL81" s="46" t="inlineStr">
        <is>
          <t>·</t>
        </is>
      </c>
      <c r="AM81" s="46" t="inlineStr">
        <is>
          <t>·</t>
        </is>
      </c>
      <c r="AN81" s="46" t="inlineStr">
        <is>
          <t>·</t>
        </is>
      </c>
      <c r="AO81" s="46" t="inlineStr">
        <is>
          <t>·</t>
        </is>
      </c>
      <c r="AP81" s="46" t="inlineStr">
        <is>
          <t>·</t>
        </is>
      </c>
      <c r="AQ81" s="46" t="inlineStr">
        <is>
          <t>·</t>
        </is>
      </c>
      <c r="AR81" s="46" t="inlineStr">
        <is>
          <t>·</t>
        </is>
      </c>
      <c r="AS81" s="46" t="inlineStr">
        <is>
          <t>·</t>
        </is>
      </c>
      <c r="AT81" s="46" t="inlineStr">
        <is>
          <t>·</t>
        </is>
      </c>
      <c r="AU81" s="46" t="inlineStr">
        <is>
          <t>·</t>
        </is>
      </c>
      <c r="AV81" s="46" t="inlineStr">
        <is>
          <t>·</t>
        </is>
      </c>
      <c r="AW81" s="46" t="inlineStr">
        <is>
          <t>·</t>
        </is>
      </c>
      <c r="AX81" s="46" t="inlineStr">
        <is>
          <t>·</t>
        </is>
      </c>
      <c r="AY81" s="46" t="inlineStr">
        <is>
          <t>·</t>
        </is>
      </c>
      <c r="AZ81" s="46" t="inlineStr">
        <is>
          <t>·</t>
        </is>
      </c>
      <c r="BA81" s="46" t="inlineStr">
        <is>
          <t>·</t>
        </is>
      </c>
      <c r="BB81" s="46" t="inlineStr">
        <is>
          <t>·</t>
        </is>
      </c>
      <c r="BC81" s="46" t="inlineStr">
        <is>
          <t>·</t>
        </is>
      </c>
      <c r="BD81" s="46" t="inlineStr">
        <is>
          <t>·</t>
        </is>
      </c>
      <c r="BE81" s="46" t="inlineStr">
        <is>
          <t>·</t>
        </is>
      </c>
      <c r="BF81" s="46" t="inlineStr">
        <is>
          <t>·</t>
        </is>
      </c>
      <c r="BG81" s="46" t="inlineStr">
        <is>
          <t>·</t>
        </is>
      </c>
      <c r="BH81" s="46" t="inlineStr">
        <is>
          <t>·</t>
        </is>
      </c>
      <c r="BI81" s="46" t="inlineStr">
        <is>
          <t>·</t>
        </is>
      </c>
      <c r="BJ81" s="46" t="inlineStr">
        <is>
          <t>·</t>
        </is>
      </c>
      <c r="BK81" s="46" t="inlineStr">
        <is>
          <t>·</t>
        </is>
      </c>
      <c r="BL81" s="46" t="inlineStr">
        <is>
          <t>·</t>
        </is>
      </c>
      <c r="BN81" s="63" t="n">
        <v>7</v>
      </c>
      <c r="BO81" s="42" t="inlineStr"/>
      <c r="BP81" s="42" t="inlineStr"/>
      <c r="BQ81" s="42" t="inlineStr"/>
      <c r="BR81" s="42" t="inlineStr"/>
    </row>
    <row r="82">
      <c r="A82" s="42" t="inlineStr">
        <is>
          <t xml:space="preserve">    Equity Год 0 — ВВОД</t>
        </is>
      </c>
      <c r="B82" s="43" t="inlineStr">
        <is>
          <t>млн ₽</t>
        </is>
      </c>
      <c r="C82" s="48" t="inlineStr">
        <is>
          <t>—</t>
        </is>
      </c>
      <c r="D82" s="45" t="inlineStr"/>
      <c r="E82" s="46" t="inlineStr">
        <is>
          <t>·</t>
        </is>
      </c>
      <c r="F82" s="46" t="inlineStr">
        <is>
          <t>·</t>
        </is>
      </c>
      <c r="G82" s="46" t="inlineStr">
        <is>
          <t>·</t>
        </is>
      </c>
      <c r="H82" s="46" t="inlineStr">
        <is>
          <t>·</t>
        </is>
      </c>
      <c r="I82" s="46" t="inlineStr">
        <is>
          <t>·</t>
        </is>
      </c>
      <c r="J82" s="46" t="inlineStr">
        <is>
          <t>·</t>
        </is>
      </c>
      <c r="K82" s="46" t="inlineStr">
        <is>
          <t>·</t>
        </is>
      </c>
      <c r="L82" s="46" t="inlineStr">
        <is>
          <t>·</t>
        </is>
      </c>
      <c r="M82" s="46" t="inlineStr">
        <is>
          <t>·</t>
        </is>
      </c>
      <c r="N82" s="46" t="inlineStr">
        <is>
          <t>·</t>
        </is>
      </c>
      <c r="O82" s="46" t="inlineStr">
        <is>
          <t>·</t>
        </is>
      </c>
      <c r="P82" s="46" t="inlineStr">
        <is>
          <t>·</t>
        </is>
      </c>
      <c r="Q82" s="46" t="inlineStr">
        <is>
          <t>·</t>
        </is>
      </c>
      <c r="R82" s="46" t="inlineStr">
        <is>
          <t>·</t>
        </is>
      </c>
      <c r="S82" s="46" t="inlineStr">
        <is>
          <t>·</t>
        </is>
      </c>
      <c r="T82" s="46" t="inlineStr">
        <is>
          <t>·</t>
        </is>
      </c>
      <c r="U82" s="46" t="inlineStr">
        <is>
          <t>·</t>
        </is>
      </c>
      <c r="V82" s="46" t="inlineStr">
        <is>
          <t>·</t>
        </is>
      </c>
      <c r="W82" s="46" t="inlineStr">
        <is>
          <t>·</t>
        </is>
      </c>
      <c r="X82" s="46" t="inlineStr">
        <is>
          <t>·</t>
        </is>
      </c>
      <c r="Y82" s="46" t="inlineStr">
        <is>
          <t>·</t>
        </is>
      </c>
      <c r="Z82" s="46" t="inlineStr">
        <is>
          <t>·</t>
        </is>
      </c>
      <c r="AA82" s="46" t="inlineStr">
        <is>
          <t>·</t>
        </is>
      </c>
      <c r="AB82" s="46" t="inlineStr">
        <is>
          <t>·</t>
        </is>
      </c>
      <c r="AC82" s="46" t="inlineStr">
        <is>
          <t>·</t>
        </is>
      </c>
      <c r="AD82" s="46" t="inlineStr">
        <is>
          <t>·</t>
        </is>
      </c>
      <c r="AE82" s="46" t="inlineStr">
        <is>
          <t>·</t>
        </is>
      </c>
      <c r="AF82" s="46" t="inlineStr">
        <is>
          <t>·</t>
        </is>
      </c>
      <c r="AG82" s="46" t="inlineStr">
        <is>
          <t>·</t>
        </is>
      </c>
      <c r="AH82" s="46" t="inlineStr">
        <is>
          <t>·</t>
        </is>
      </c>
      <c r="AI82" s="46" t="inlineStr">
        <is>
          <t>·</t>
        </is>
      </c>
      <c r="AJ82" s="46" t="inlineStr">
        <is>
          <t>·</t>
        </is>
      </c>
      <c r="AK82" s="46" t="inlineStr">
        <is>
          <t>·</t>
        </is>
      </c>
      <c r="AL82" s="46" t="inlineStr">
        <is>
          <t>·</t>
        </is>
      </c>
      <c r="AM82" s="46" t="inlineStr">
        <is>
          <t>·</t>
        </is>
      </c>
      <c r="AN82" s="46" t="inlineStr">
        <is>
          <t>·</t>
        </is>
      </c>
      <c r="AO82" s="46" t="inlineStr">
        <is>
          <t>·</t>
        </is>
      </c>
      <c r="AP82" s="46" t="inlineStr">
        <is>
          <t>·</t>
        </is>
      </c>
      <c r="AQ82" s="46" t="inlineStr">
        <is>
          <t>·</t>
        </is>
      </c>
      <c r="AR82" s="46" t="inlineStr">
        <is>
          <t>·</t>
        </is>
      </c>
      <c r="AS82" s="46" t="inlineStr">
        <is>
          <t>·</t>
        </is>
      </c>
      <c r="AT82" s="46" t="inlineStr">
        <is>
          <t>·</t>
        </is>
      </c>
      <c r="AU82" s="46" t="inlineStr">
        <is>
          <t>·</t>
        </is>
      </c>
      <c r="AV82" s="46" t="inlineStr">
        <is>
          <t>·</t>
        </is>
      </c>
      <c r="AW82" s="46" t="inlineStr">
        <is>
          <t>·</t>
        </is>
      </c>
      <c r="AX82" s="46" t="inlineStr">
        <is>
          <t>·</t>
        </is>
      </c>
      <c r="AY82" s="46" t="inlineStr">
        <is>
          <t>·</t>
        </is>
      </c>
      <c r="AZ82" s="46" t="inlineStr">
        <is>
          <t>·</t>
        </is>
      </c>
      <c r="BA82" s="46" t="inlineStr">
        <is>
          <t>·</t>
        </is>
      </c>
      <c r="BB82" s="46" t="inlineStr">
        <is>
          <t>·</t>
        </is>
      </c>
      <c r="BC82" s="46" t="inlineStr">
        <is>
          <t>·</t>
        </is>
      </c>
      <c r="BD82" s="46" t="inlineStr">
        <is>
          <t>·</t>
        </is>
      </c>
      <c r="BE82" s="46" t="inlineStr">
        <is>
          <t>·</t>
        </is>
      </c>
      <c r="BF82" s="46" t="inlineStr">
        <is>
          <t>·</t>
        </is>
      </c>
      <c r="BG82" s="46" t="inlineStr">
        <is>
          <t>·</t>
        </is>
      </c>
      <c r="BH82" s="46" t="inlineStr">
        <is>
          <t>·</t>
        </is>
      </c>
      <c r="BI82" s="46" t="inlineStr">
        <is>
          <t>·</t>
        </is>
      </c>
      <c r="BJ82" s="46" t="inlineStr">
        <is>
          <t>·</t>
        </is>
      </c>
      <c r="BK82" s="46" t="inlineStr">
        <is>
          <t>·</t>
        </is>
      </c>
      <c r="BL82" s="46" t="inlineStr">
        <is>
          <t>·</t>
        </is>
      </c>
      <c r="BN82" s="61" t="n">
        <v>110.55</v>
      </c>
      <c r="BO82" s="42" t="inlineStr"/>
      <c r="BP82" s="42" t="inlineStr"/>
      <c r="BQ82" s="42" t="inlineStr"/>
      <c r="BR82" s="42" t="inlineStr"/>
    </row>
    <row r="83">
      <c r="A83" s="42" t="inlineStr">
        <is>
          <t xml:space="preserve">    Min Cash — неснижаемый остаток, млн ₽ — ВВОД</t>
        </is>
      </c>
      <c r="B83" s="43" t="inlineStr">
        <is>
          <t>млн ₽</t>
        </is>
      </c>
      <c r="C83" s="48" t="inlineStr">
        <is>
          <t>—</t>
        </is>
      </c>
      <c r="D83" s="45" t="inlineStr"/>
      <c r="E83" s="46" t="inlineStr">
        <is>
          <t>·</t>
        </is>
      </c>
      <c r="F83" s="46" t="inlineStr">
        <is>
          <t>·</t>
        </is>
      </c>
      <c r="G83" s="46" t="inlineStr">
        <is>
          <t>·</t>
        </is>
      </c>
      <c r="H83" s="46" t="inlineStr">
        <is>
          <t>·</t>
        </is>
      </c>
      <c r="I83" s="46" t="inlineStr">
        <is>
          <t>·</t>
        </is>
      </c>
      <c r="J83" s="46" t="inlineStr">
        <is>
          <t>·</t>
        </is>
      </c>
      <c r="K83" s="46" t="inlineStr">
        <is>
          <t>·</t>
        </is>
      </c>
      <c r="L83" s="46" t="inlineStr">
        <is>
          <t>·</t>
        </is>
      </c>
      <c r="M83" s="46" t="inlineStr">
        <is>
          <t>·</t>
        </is>
      </c>
      <c r="N83" s="46" t="inlineStr">
        <is>
          <t>·</t>
        </is>
      </c>
      <c r="O83" s="46" t="inlineStr">
        <is>
          <t>·</t>
        </is>
      </c>
      <c r="P83" s="46" t="inlineStr">
        <is>
          <t>·</t>
        </is>
      </c>
      <c r="Q83" s="46" t="inlineStr">
        <is>
          <t>·</t>
        </is>
      </c>
      <c r="R83" s="46" t="inlineStr">
        <is>
          <t>·</t>
        </is>
      </c>
      <c r="S83" s="46" t="inlineStr">
        <is>
          <t>·</t>
        </is>
      </c>
      <c r="T83" s="46" t="inlineStr">
        <is>
          <t>·</t>
        </is>
      </c>
      <c r="U83" s="46" t="inlineStr">
        <is>
          <t>·</t>
        </is>
      </c>
      <c r="V83" s="46" t="inlineStr">
        <is>
          <t>·</t>
        </is>
      </c>
      <c r="W83" s="46" t="inlineStr">
        <is>
          <t>·</t>
        </is>
      </c>
      <c r="X83" s="46" t="inlineStr">
        <is>
          <t>·</t>
        </is>
      </c>
      <c r="Y83" s="46" t="inlineStr">
        <is>
          <t>·</t>
        </is>
      </c>
      <c r="Z83" s="46" t="inlineStr">
        <is>
          <t>·</t>
        </is>
      </c>
      <c r="AA83" s="46" t="inlineStr">
        <is>
          <t>·</t>
        </is>
      </c>
      <c r="AB83" s="46" t="inlineStr">
        <is>
          <t>·</t>
        </is>
      </c>
      <c r="AC83" s="46" t="inlineStr">
        <is>
          <t>·</t>
        </is>
      </c>
      <c r="AD83" s="46" t="inlineStr">
        <is>
          <t>·</t>
        </is>
      </c>
      <c r="AE83" s="46" t="inlineStr">
        <is>
          <t>·</t>
        </is>
      </c>
      <c r="AF83" s="46" t="inlineStr">
        <is>
          <t>·</t>
        </is>
      </c>
      <c r="AG83" s="46" t="inlineStr">
        <is>
          <t>·</t>
        </is>
      </c>
      <c r="AH83" s="46" t="inlineStr">
        <is>
          <t>·</t>
        </is>
      </c>
      <c r="AI83" s="46" t="inlineStr">
        <is>
          <t>·</t>
        </is>
      </c>
      <c r="AJ83" s="46" t="inlineStr">
        <is>
          <t>·</t>
        </is>
      </c>
      <c r="AK83" s="46" t="inlineStr">
        <is>
          <t>·</t>
        </is>
      </c>
      <c r="AL83" s="46" t="inlineStr">
        <is>
          <t>·</t>
        </is>
      </c>
      <c r="AM83" s="46" t="inlineStr">
        <is>
          <t>·</t>
        </is>
      </c>
      <c r="AN83" s="46" t="inlineStr">
        <is>
          <t>·</t>
        </is>
      </c>
      <c r="AO83" s="46" t="inlineStr">
        <is>
          <t>·</t>
        </is>
      </c>
      <c r="AP83" s="46" t="inlineStr">
        <is>
          <t>·</t>
        </is>
      </c>
      <c r="AQ83" s="46" t="inlineStr">
        <is>
          <t>·</t>
        </is>
      </c>
      <c r="AR83" s="46" t="inlineStr">
        <is>
          <t>·</t>
        </is>
      </c>
      <c r="AS83" s="46" t="inlineStr">
        <is>
          <t>·</t>
        </is>
      </c>
      <c r="AT83" s="46" t="inlineStr">
        <is>
          <t>·</t>
        </is>
      </c>
      <c r="AU83" s="46" t="inlineStr">
        <is>
          <t>·</t>
        </is>
      </c>
      <c r="AV83" s="46" t="inlineStr">
        <is>
          <t>·</t>
        </is>
      </c>
      <c r="AW83" s="46" t="inlineStr">
        <is>
          <t>·</t>
        </is>
      </c>
      <c r="AX83" s="46" t="inlineStr">
        <is>
          <t>·</t>
        </is>
      </c>
      <c r="AY83" s="46" t="inlineStr">
        <is>
          <t>·</t>
        </is>
      </c>
      <c r="AZ83" s="46" t="inlineStr">
        <is>
          <t>·</t>
        </is>
      </c>
      <c r="BA83" s="46" t="inlineStr">
        <is>
          <t>·</t>
        </is>
      </c>
      <c r="BB83" s="46" t="inlineStr">
        <is>
          <t>·</t>
        </is>
      </c>
      <c r="BC83" s="46" t="inlineStr">
        <is>
          <t>·</t>
        </is>
      </c>
      <c r="BD83" s="46" t="inlineStr">
        <is>
          <t>·</t>
        </is>
      </c>
      <c r="BE83" s="46" t="inlineStr">
        <is>
          <t>·</t>
        </is>
      </c>
      <c r="BF83" s="46" t="inlineStr">
        <is>
          <t>·</t>
        </is>
      </c>
      <c r="BG83" s="46" t="inlineStr">
        <is>
          <t>·</t>
        </is>
      </c>
      <c r="BH83" s="46" t="inlineStr">
        <is>
          <t>·</t>
        </is>
      </c>
      <c r="BI83" s="46" t="inlineStr">
        <is>
          <t>·</t>
        </is>
      </c>
      <c r="BJ83" s="46" t="inlineStr">
        <is>
          <t>·</t>
        </is>
      </c>
      <c r="BK83" s="46" t="inlineStr">
        <is>
          <t>·</t>
        </is>
      </c>
      <c r="BL83" s="46" t="inlineStr">
        <is>
          <t>·</t>
        </is>
      </c>
      <c r="BN83" s="61" t="n">
        <v>0</v>
      </c>
      <c r="BO83" s="42" t="inlineStr"/>
      <c r="BP83" s="42" t="inlineStr"/>
      <c r="BQ83" s="42" t="inlineStr"/>
      <c r="BR83" s="42" t="inlineStr"/>
    </row>
    <row r="84">
      <c r="A84" s="42" t="inlineStr">
        <is>
          <t xml:space="preserve">    Спред revolver к ключевой, п.п. — ВВОД</t>
        </is>
      </c>
      <c r="B84" s="43" t="inlineStr">
        <is>
          <t>%</t>
        </is>
      </c>
      <c r="C84" s="48" t="inlineStr">
        <is>
          <t>—</t>
        </is>
      </c>
      <c r="D84" s="45" t="inlineStr"/>
      <c r="E84" s="46" t="inlineStr">
        <is>
          <t>·</t>
        </is>
      </c>
      <c r="F84" s="46" t="inlineStr">
        <is>
          <t>·</t>
        </is>
      </c>
      <c r="G84" s="46" t="inlineStr">
        <is>
          <t>·</t>
        </is>
      </c>
      <c r="H84" s="46" t="inlineStr">
        <is>
          <t>·</t>
        </is>
      </c>
      <c r="I84" s="46" t="inlineStr">
        <is>
          <t>·</t>
        </is>
      </c>
      <c r="J84" s="46" t="inlineStr">
        <is>
          <t>·</t>
        </is>
      </c>
      <c r="K84" s="46" t="inlineStr">
        <is>
          <t>·</t>
        </is>
      </c>
      <c r="L84" s="46" t="inlineStr">
        <is>
          <t>·</t>
        </is>
      </c>
      <c r="M84" s="46" t="inlineStr">
        <is>
          <t>·</t>
        </is>
      </c>
      <c r="N84" s="46" t="inlineStr">
        <is>
          <t>·</t>
        </is>
      </c>
      <c r="O84" s="46" t="inlineStr">
        <is>
          <t>·</t>
        </is>
      </c>
      <c r="P84" s="46" t="inlineStr">
        <is>
          <t>·</t>
        </is>
      </c>
      <c r="Q84" s="46" t="inlineStr">
        <is>
          <t>·</t>
        </is>
      </c>
      <c r="R84" s="46" t="inlineStr">
        <is>
          <t>·</t>
        </is>
      </c>
      <c r="S84" s="46" t="inlineStr">
        <is>
          <t>·</t>
        </is>
      </c>
      <c r="T84" s="46" t="inlineStr">
        <is>
          <t>·</t>
        </is>
      </c>
      <c r="U84" s="46" t="inlineStr">
        <is>
          <t>·</t>
        </is>
      </c>
      <c r="V84" s="46" t="inlineStr">
        <is>
          <t>·</t>
        </is>
      </c>
      <c r="W84" s="46" t="inlineStr">
        <is>
          <t>·</t>
        </is>
      </c>
      <c r="X84" s="46" t="inlineStr">
        <is>
          <t>·</t>
        </is>
      </c>
      <c r="Y84" s="46" t="inlineStr">
        <is>
          <t>·</t>
        </is>
      </c>
      <c r="Z84" s="46" t="inlineStr">
        <is>
          <t>·</t>
        </is>
      </c>
      <c r="AA84" s="46" t="inlineStr">
        <is>
          <t>·</t>
        </is>
      </c>
      <c r="AB84" s="46" t="inlineStr">
        <is>
          <t>·</t>
        </is>
      </c>
      <c r="AC84" s="46" t="inlineStr">
        <is>
          <t>·</t>
        </is>
      </c>
      <c r="AD84" s="46" t="inlineStr">
        <is>
          <t>·</t>
        </is>
      </c>
      <c r="AE84" s="46" t="inlineStr">
        <is>
          <t>·</t>
        </is>
      </c>
      <c r="AF84" s="46" t="inlineStr">
        <is>
          <t>·</t>
        </is>
      </c>
      <c r="AG84" s="46" t="inlineStr">
        <is>
          <t>·</t>
        </is>
      </c>
      <c r="AH84" s="46" t="inlineStr">
        <is>
          <t>·</t>
        </is>
      </c>
      <c r="AI84" s="46" t="inlineStr">
        <is>
          <t>·</t>
        </is>
      </c>
      <c r="AJ84" s="46" t="inlineStr">
        <is>
          <t>·</t>
        </is>
      </c>
      <c r="AK84" s="46" t="inlineStr">
        <is>
          <t>·</t>
        </is>
      </c>
      <c r="AL84" s="46" t="inlineStr">
        <is>
          <t>·</t>
        </is>
      </c>
      <c r="AM84" s="46" t="inlineStr">
        <is>
          <t>·</t>
        </is>
      </c>
      <c r="AN84" s="46" t="inlineStr">
        <is>
          <t>·</t>
        </is>
      </c>
      <c r="AO84" s="46" t="inlineStr">
        <is>
          <t>·</t>
        </is>
      </c>
      <c r="AP84" s="46" t="inlineStr">
        <is>
          <t>·</t>
        </is>
      </c>
      <c r="AQ84" s="46" t="inlineStr">
        <is>
          <t>·</t>
        </is>
      </c>
      <c r="AR84" s="46" t="inlineStr">
        <is>
          <t>·</t>
        </is>
      </c>
      <c r="AS84" s="46" t="inlineStr">
        <is>
          <t>·</t>
        </is>
      </c>
      <c r="AT84" s="46" t="inlineStr">
        <is>
          <t>·</t>
        </is>
      </c>
      <c r="AU84" s="46" t="inlineStr">
        <is>
          <t>·</t>
        </is>
      </c>
      <c r="AV84" s="46" t="inlineStr">
        <is>
          <t>·</t>
        </is>
      </c>
      <c r="AW84" s="46" t="inlineStr">
        <is>
          <t>·</t>
        </is>
      </c>
      <c r="AX84" s="46" t="inlineStr">
        <is>
          <t>·</t>
        </is>
      </c>
      <c r="AY84" s="46" t="inlineStr">
        <is>
          <t>·</t>
        </is>
      </c>
      <c r="AZ84" s="46" t="inlineStr">
        <is>
          <t>·</t>
        </is>
      </c>
      <c r="BA84" s="46" t="inlineStr">
        <is>
          <t>·</t>
        </is>
      </c>
      <c r="BB84" s="46" t="inlineStr">
        <is>
          <t>·</t>
        </is>
      </c>
      <c r="BC84" s="46" t="inlineStr">
        <is>
          <t>·</t>
        </is>
      </c>
      <c r="BD84" s="46" t="inlineStr">
        <is>
          <t>·</t>
        </is>
      </c>
      <c r="BE84" s="46" t="inlineStr">
        <is>
          <t>·</t>
        </is>
      </c>
      <c r="BF84" s="46" t="inlineStr">
        <is>
          <t>·</t>
        </is>
      </c>
      <c r="BG84" s="46" t="inlineStr">
        <is>
          <t>·</t>
        </is>
      </c>
      <c r="BH84" s="46" t="inlineStr">
        <is>
          <t>·</t>
        </is>
      </c>
      <c r="BI84" s="46" t="inlineStr">
        <is>
          <t>·</t>
        </is>
      </c>
      <c r="BJ84" s="46" t="inlineStr">
        <is>
          <t>·</t>
        </is>
      </c>
      <c r="BK84" s="46" t="inlineStr">
        <is>
          <t>·</t>
        </is>
      </c>
      <c r="BL84" s="46" t="inlineStr">
        <is>
          <t>·</t>
        </is>
      </c>
      <c r="BN84" s="55" t="n">
        <v>0.05</v>
      </c>
      <c r="BO84" s="42" t="inlineStr"/>
      <c r="BP84" s="42" t="inlineStr"/>
      <c r="BQ84" s="42" t="inlineStr"/>
      <c r="BR84" s="42" t="inlineStr"/>
    </row>
    <row r="85">
      <c r="A85" s="57" t="inlineStr">
        <is>
          <t xml:space="preserve">    Ставка revolver = ключевая + спред (формула)</t>
        </is>
      </c>
      <c r="B85" s="52" t="inlineStr">
        <is>
          <t>%</t>
        </is>
      </c>
      <c r="C85" s="48" t="inlineStr">
        <is>
          <t>—</t>
        </is>
      </c>
      <c r="D85" s="45" t="inlineStr"/>
      <c r="E85" s="46" t="inlineStr">
        <is>
          <t>·</t>
        </is>
      </c>
      <c r="F85" s="46" t="inlineStr">
        <is>
          <t>·</t>
        </is>
      </c>
      <c r="G85" s="46" t="inlineStr">
        <is>
          <t>·</t>
        </is>
      </c>
      <c r="H85" s="46" t="inlineStr">
        <is>
          <t>·</t>
        </is>
      </c>
      <c r="I85" s="46" t="inlineStr">
        <is>
          <t>·</t>
        </is>
      </c>
      <c r="J85" s="46" t="inlineStr">
        <is>
          <t>·</t>
        </is>
      </c>
      <c r="K85" s="46" t="inlineStr">
        <is>
          <t>·</t>
        </is>
      </c>
      <c r="L85" s="46" t="inlineStr">
        <is>
          <t>·</t>
        </is>
      </c>
      <c r="M85" s="46" t="inlineStr">
        <is>
          <t>·</t>
        </is>
      </c>
      <c r="N85" s="46" t="inlineStr">
        <is>
          <t>·</t>
        </is>
      </c>
      <c r="O85" s="46" t="inlineStr">
        <is>
          <t>·</t>
        </is>
      </c>
      <c r="P85" s="46" t="inlineStr">
        <is>
          <t>·</t>
        </is>
      </c>
      <c r="Q85" s="46" t="inlineStr">
        <is>
          <t>·</t>
        </is>
      </c>
      <c r="R85" s="46" t="inlineStr">
        <is>
          <t>·</t>
        </is>
      </c>
      <c r="S85" s="46" t="inlineStr">
        <is>
          <t>·</t>
        </is>
      </c>
      <c r="T85" s="46" t="inlineStr">
        <is>
          <t>·</t>
        </is>
      </c>
      <c r="U85" s="46" t="inlineStr">
        <is>
          <t>·</t>
        </is>
      </c>
      <c r="V85" s="46" t="inlineStr">
        <is>
          <t>·</t>
        </is>
      </c>
      <c r="W85" s="46" t="inlineStr">
        <is>
          <t>·</t>
        </is>
      </c>
      <c r="X85" s="46" t="inlineStr">
        <is>
          <t>·</t>
        </is>
      </c>
      <c r="Y85" s="46" t="inlineStr">
        <is>
          <t>·</t>
        </is>
      </c>
      <c r="Z85" s="46" t="inlineStr">
        <is>
          <t>·</t>
        </is>
      </c>
      <c r="AA85" s="46" t="inlineStr">
        <is>
          <t>·</t>
        </is>
      </c>
      <c r="AB85" s="46" t="inlineStr">
        <is>
          <t>·</t>
        </is>
      </c>
      <c r="AC85" s="46" t="inlineStr">
        <is>
          <t>·</t>
        </is>
      </c>
      <c r="AD85" s="46" t="inlineStr">
        <is>
          <t>·</t>
        </is>
      </c>
      <c r="AE85" s="46" t="inlineStr">
        <is>
          <t>·</t>
        </is>
      </c>
      <c r="AF85" s="46" t="inlineStr">
        <is>
          <t>·</t>
        </is>
      </c>
      <c r="AG85" s="46" t="inlineStr">
        <is>
          <t>·</t>
        </is>
      </c>
      <c r="AH85" s="46" t="inlineStr">
        <is>
          <t>·</t>
        </is>
      </c>
      <c r="AI85" s="46" t="inlineStr">
        <is>
          <t>·</t>
        </is>
      </c>
      <c r="AJ85" s="46" t="inlineStr">
        <is>
          <t>·</t>
        </is>
      </c>
      <c r="AK85" s="46" t="inlineStr">
        <is>
          <t>·</t>
        </is>
      </c>
      <c r="AL85" s="46" t="inlineStr">
        <is>
          <t>·</t>
        </is>
      </c>
      <c r="AM85" s="46" t="inlineStr">
        <is>
          <t>·</t>
        </is>
      </c>
      <c r="AN85" s="46" t="inlineStr">
        <is>
          <t>·</t>
        </is>
      </c>
      <c r="AO85" s="46" t="inlineStr">
        <is>
          <t>·</t>
        </is>
      </c>
      <c r="AP85" s="46" t="inlineStr">
        <is>
          <t>·</t>
        </is>
      </c>
      <c r="AQ85" s="46" t="inlineStr">
        <is>
          <t>·</t>
        </is>
      </c>
      <c r="AR85" s="46" t="inlineStr">
        <is>
          <t>·</t>
        </is>
      </c>
      <c r="AS85" s="46" t="inlineStr">
        <is>
          <t>·</t>
        </is>
      </c>
      <c r="AT85" s="46" t="inlineStr">
        <is>
          <t>·</t>
        </is>
      </c>
      <c r="AU85" s="46" t="inlineStr">
        <is>
          <t>·</t>
        </is>
      </c>
      <c r="AV85" s="46" t="inlineStr">
        <is>
          <t>·</t>
        </is>
      </c>
      <c r="AW85" s="46" t="inlineStr">
        <is>
          <t>·</t>
        </is>
      </c>
      <c r="AX85" s="46" t="inlineStr">
        <is>
          <t>·</t>
        </is>
      </c>
      <c r="AY85" s="46" t="inlineStr">
        <is>
          <t>·</t>
        </is>
      </c>
      <c r="AZ85" s="46" t="inlineStr">
        <is>
          <t>·</t>
        </is>
      </c>
      <c r="BA85" s="46" t="inlineStr">
        <is>
          <t>·</t>
        </is>
      </c>
      <c r="BB85" s="46" t="inlineStr">
        <is>
          <t>·</t>
        </is>
      </c>
      <c r="BC85" s="46" t="inlineStr">
        <is>
          <t>·</t>
        </is>
      </c>
      <c r="BD85" s="46" t="inlineStr">
        <is>
          <t>·</t>
        </is>
      </c>
      <c r="BE85" s="46" t="inlineStr">
        <is>
          <t>·</t>
        </is>
      </c>
      <c r="BF85" s="46" t="inlineStr">
        <is>
          <t>·</t>
        </is>
      </c>
      <c r="BG85" s="46" t="inlineStr">
        <is>
          <t>·</t>
        </is>
      </c>
      <c r="BH85" s="46" t="inlineStr">
        <is>
          <t>·</t>
        </is>
      </c>
      <c r="BI85" s="46" t="inlineStr">
        <is>
          <t>·</t>
        </is>
      </c>
      <c r="BJ85" s="46" t="inlineStr">
        <is>
          <t>·</t>
        </is>
      </c>
      <c r="BK85" s="46" t="inlineStr">
        <is>
          <t>·</t>
        </is>
      </c>
      <c r="BL85" s="46" t="inlineStr">
        <is>
          <t>·</t>
        </is>
      </c>
      <c r="BN85" s="60">
        <f>E42+BN84</f>
        <v/>
      </c>
      <c r="BO85" s="42" t="inlineStr"/>
      <c r="BP85" s="42" t="inlineStr"/>
      <c r="BQ85" s="42" t="inlineStr"/>
      <c r="BR85" s="42" t="inlineStr"/>
    </row>
    <row r="86">
      <c r="A86" s="42" t="inlineStr">
        <is>
          <t xml:space="preserve">    Лимит revolver, млн ₽ (0 = без лимита) — ВВОД</t>
        </is>
      </c>
      <c r="B86" s="43" t="inlineStr">
        <is>
          <t>млн ₽</t>
        </is>
      </c>
      <c r="C86" s="48" t="inlineStr">
        <is>
          <t>—</t>
        </is>
      </c>
      <c r="D86" s="45" t="inlineStr"/>
      <c r="E86" s="46" t="inlineStr">
        <is>
          <t>·</t>
        </is>
      </c>
      <c r="F86" s="46" t="inlineStr">
        <is>
          <t>·</t>
        </is>
      </c>
      <c r="G86" s="46" t="inlineStr">
        <is>
          <t>·</t>
        </is>
      </c>
      <c r="H86" s="46" t="inlineStr">
        <is>
          <t>·</t>
        </is>
      </c>
      <c r="I86" s="46" t="inlineStr">
        <is>
          <t>·</t>
        </is>
      </c>
      <c r="J86" s="46" t="inlineStr">
        <is>
          <t>·</t>
        </is>
      </c>
      <c r="K86" s="46" t="inlineStr">
        <is>
          <t>·</t>
        </is>
      </c>
      <c r="L86" s="46" t="inlineStr">
        <is>
          <t>·</t>
        </is>
      </c>
      <c r="M86" s="46" t="inlineStr">
        <is>
          <t>·</t>
        </is>
      </c>
      <c r="N86" s="46" t="inlineStr">
        <is>
          <t>·</t>
        </is>
      </c>
      <c r="O86" s="46" t="inlineStr">
        <is>
          <t>·</t>
        </is>
      </c>
      <c r="P86" s="46" t="inlineStr">
        <is>
          <t>·</t>
        </is>
      </c>
      <c r="Q86" s="46" t="inlineStr">
        <is>
          <t>·</t>
        </is>
      </c>
      <c r="R86" s="46" t="inlineStr">
        <is>
          <t>·</t>
        </is>
      </c>
      <c r="S86" s="46" t="inlineStr">
        <is>
          <t>·</t>
        </is>
      </c>
      <c r="T86" s="46" t="inlineStr">
        <is>
          <t>·</t>
        </is>
      </c>
      <c r="U86" s="46" t="inlineStr">
        <is>
          <t>·</t>
        </is>
      </c>
      <c r="V86" s="46" t="inlineStr">
        <is>
          <t>·</t>
        </is>
      </c>
      <c r="W86" s="46" t="inlineStr">
        <is>
          <t>·</t>
        </is>
      </c>
      <c r="X86" s="46" t="inlineStr">
        <is>
          <t>·</t>
        </is>
      </c>
      <c r="Y86" s="46" t="inlineStr">
        <is>
          <t>·</t>
        </is>
      </c>
      <c r="Z86" s="46" t="inlineStr">
        <is>
          <t>·</t>
        </is>
      </c>
      <c r="AA86" s="46" t="inlineStr">
        <is>
          <t>·</t>
        </is>
      </c>
      <c r="AB86" s="46" t="inlineStr">
        <is>
          <t>·</t>
        </is>
      </c>
      <c r="AC86" s="46" t="inlineStr">
        <is>
          <t>·</t>
        </is>
      </c>
      <c r="AD86" s="46" t="inlineStr">
        <is>
          <t>·</t>
        </is>
      </c>
      <c r="AE86" s="46" t="inlineStr">
        <is>
          <t>·</t>
        </is>
      </c>
      <c r="AF86" s="46" t="inlineStr">
        <is>
          <t>·</t>
        </is>
      </c>
      <c r="AG86" s="46" t="inlineStr">
        <is>
          <t>·</t>
        </is>
      </c>
      <c r="AH86" s="46" t="inlineStr">
        <is>
          <t>·</t>
        </is>
      </c>
      <c r="AI86" s="46" t="inlineStr">
        <is>
          <t>·</t>
        </is>
      </c>
      <c r="AJ86" s="46" t="inlineStr">
        <is>
          <t>·</t>
        </is>
      </c>
      <c r="AK86" s="46" t="inlineStr">
        <is>
          <t>·</t>
        </is>
      </c>
      <c r="AL86" s="46" t="inlineStr">
        <is>
          <t>·</t>
        </is>
      </c>
      <c r="AM86" s="46" t="inlineStr">
        <is>
          <t>·</t>
        </is>
      </c>
      <c r="AN86" s="46" t="inlineStr">
        <is>
          <t>·</t>
        </is>
      </c>
      <c r="AO86" s="46" t="inlineStr">
        <is>
          <t>·</t>
        </is>
      </c>
      <c r="AP86" s="46" t="inlineStr">
        <is>
          <t>·</t>
        </is>
      </c>
      <c r="AQ86" s="46" t="inlineStr">
        <is>
          <t>·</t>
        </is>
      </c>
      <c r="AR86" s="46" t="inlineStr">
        <is>
          <t>·</t>
        </is>
      </c>
      <c r="AS86" s="46" t="inlineStr">
        <is>
          <t>·</t>
        </is>
      </c>
      <c r="AT86" s="46" t="inlineStr">
        <is>
          <t>·</t>
        </is>
      </c>
      <c r="AU86" s="46" t="inlineStr">
        <is>
          <t>·</t>
        </is>
      </c>
      <c r="AV86" s="46" t="inlineStr">
        <is>
          <t>·</t>
        </is>
      </c>
      <c r="AW86" s="46" t="inlineStr">
        <is>
          <t>·</t>
        </is>
      </c>
      <c r="AX86" s="46" t="inlineStr">
        <is>
          <t>·</t>
        </is>
      </c>
      <c r="AY86" s="46" t="inlineStr">
        <is>
          <t>·</t>
        </is>
      </c>
      <c r="AZ86" s="46" t="inlineStr">
        <is>
          <t>·</t>
        </is>
      </c>
      <c r="BA86" s="46" t="inlineStr">
        <is>
          <t>·</t>
        </is>
      </c>
      <c r="BB86" s="46" t="inlineStr">
        <is>
          <t>·</t>
        </is>
      </c>
      <c r="BC86" s="46" t="inlineStr">
        <is>
          <t>·</t>
        </is>
      </c>
      <c r="BD86" s="46" t="inlineStr">
        <is>
          <t>·</t>
        </is>
      </c>
      <c r="BE86" s="46" t="inlineStr">
        <is>
          <t>·</t>
        </is>
      </c>
      <c r="BF86" s="46" t="inlineStr">
        <is>
          <t>·</t>
        </is>
      </c>
      <c r="BG86" s="46" t="inlineStr">
        <is>
          <t>·</t>
        </is>
      </c>
      <c r="BH86" s="46" t="inlineStr">
        <is>
          <t>·</t>
        </is>
      </c>
      <c r="BI86" s="46" t="inlineStr">
        <is>
          <t>·</t>
        </is>
      </c>
      <c r="BJ86" s="46" t="inlineStr">
        <is>
          <t>·</t>
        </is>
      </c>
      <c r="BK86" s="46" t="inlineStr">
        <is>
          <t>·</t>
        </is>
      </c>
      <c r="BL86" s="46" t="inlineStr">
        <is>
          <t>·</t>
        </is>
      </c>
      <c r="BN86" s="61" t="n">
        <v>0</v>
      </c>
      <c r="BO86" s="42" t="inlineStr"/>
      <c r="BP86" s="42" t="inlineStr"/>
      <c r="BQ86" s="42" t="inlineStr"/>
      <c r="BR86" s="42" t="inlineStr"/>
    </row>
    <row r="87"/>
    <row r="88" ht="22" customHeight="1">
      <c r="A88" s="41" t="inlineStr">
        <is>
          <t xml:space="preserve">  НАЛОГИ — ДОПУЩЕНИЯ | Режим ОСНО</t>
        </is>
      </c>
    </row>
    <row r="89">
      <c r="A89" s="42" t="inlineStr">
        <is>
          <t xml:space="preserve">    Ставка налога на прибыль, %</t>
        </is>
      </c>
      <c r="B89" s="43" t="inlineStr">
        <is>
          <t>%</t>
        </is>
      </c>
      <c r="C89" s="48" t="inlineStr">
        <is>
          <t>—</t>
        </is>
      </c>
      <c r="D89" s="45" t="inlineStr"/>
      <c r="E89" s="46" t="inlineStr">
        <is>
          <t>·</t>
        </is>
      </c>
      <c r="F89" s="46" t="inlineStr">
        <is>
          <t>·</t>
        </is>
      </c>
      <c r="G89" s="46" t="inlineStr">
        <is>
          <t>·</t>
        </is>
      </c>
      <c r="H89" s="46" t="inlineStr">
        <is>
          <t>·</t>
        </is>
      </c>
      <c r="I89" s="46" t="inlineStr">
        <is>
          <t>·</t>
        </is>
      </c>
      <c r="J89" s="46" t="inlineStr">
        <is>
          <t>·</t>
        </is>
      </c>
      <c r="K89" s="46" t="inlineStr">
        <is>
          <t>·</t>
        </is>
      </c>
      <c r="L89" s="46" t="inlineStr">
        <is>
          <t>·</t>
        </is>
      </c>
      <c r="M89" s="46" t="inlineStr">
        <is>
          <t>·</t>
        </is>
      </c>
      <c r="N89" s="46" t="inlineStr">
        <is>
          <t>·</t>
        </is>
      </c>
      <c r="O89" s="46" t="inlineStr">
        <is>
          <t>·</t>
        </is>
      </c>
      <c r="P89" s="46" t="inlineStr">
        <is>
          <t>·</t>
        </is>
      </c>
      <c r="Q89" s="46" t="inlineStr">
        <is>
          <t>·</t>
        </is>
      </c>
      <c r="R89" s="46" t="inlineStr">
        <is>
          <t>·</t>
        </is>
      </c>
      <c r="S89" s="46" t="inlineStr">
        <is>
          <t>·</t>
        </is>
      </c>
      <c r="T89" s="46" t="inlineStr">
        <is>
          <t>·</t>
        </is>
      </c>
      <c r="U89" s="46" t="inlineStr">
        <is>
          <t>·</t>
        </is>
      </c>
      <c r="V89" s="46" t="inlineStr">
        <is>
          <t>·</t>
        </is>
      </c>
      <c r="W89" s="46" t="inlineStr">
        <is>
          <t>·</t>
        </is>
      </c>
      <c r="X89" s="46" t="inlineStr">
        <is>
          <t>·</t>
        </is>
      </c>
      <c r="Y89" s="46" t="inlineStr">
        <is>
          <t>·</t>
        </is>
      </c>
      <c r="Z89" s="46" t="inlineStr">
        <is>
          <t>·</t>
        </is>
      </c>
      <c r="AA89" s="46" t="inlineStr">
        <is>
          <t>·</t>
        </is>
      </c>
      <c r="AB89" s="46" t="inlineStr">
        <is>
          <t>·</t>
        </is>
      </c>
      <c r="AC89" s="46" t="inlineStr">
        <is>
          <t>·</t>
        </is>
      </c>
      <c r="AD89" s="46" t="inlineStr">
        <is>
          <t>·</t>
        </is>
      </c>
      <c r="AE89" s="46" t="inlineStr">
        <is>
          <t>·</t>
        </is>
      </c>
      <c r="AF89" s="46" t="inlineStr">
        <is>
          <t>·</t>
        </is>
      </c>
      <c r="AG89" s="46" t="inlineStr">
        <is>
          <t>·</t>
        </is>
      </c>
      <c r="AH89" s="46" t="inlineStr">
        <is>
          <t>·</t>
        </is>
      </c>
      <c r="AI89" s="46" t="inlineStr">
        <is>
          <t>·</t>
        </is>
      </c>
      <c r="AJ89" s="46" t="inlineStr">
        <is>
          <t>·</t>
        </is>
      </c>
      <c r="AK89" s="46" t="inlineStr">
        <is>
          <t>·</t>
        </is>
      </c>
      <c r="AL89" s="46" t="inlineStr">
        <is>
          <t>·</t>
        </is>
      </c>
      <c r="AM89" s="46" t="inlineStr">
        <is>
          <t>·</t>
        </is>
      </c>
      <c r="AN89" s="46" t="inlineStr">
        <is>
          <t>·</t>
        </is>
      </c>
      <c r="AO89" s="46" t="inlineStr">
        <is>
          <t>·</t>
        </is>
      </c>
      <c r="AP89" s="46" t="inlineStr">
        <is>
          <t>·</t>
        </is>
      </c>
      <c r="AQ89" s="46" t="inlineStr">
        <is>
          <t>·</t>
        </is>
      </c>
      <c r="AR89" s="46" t="inlineStr">
        <is>
          <t>·</t>
        </is>
      </c>
      <c r="AS89" s="46" t="inlineStr">
        <is>
          <t>·</t>
        </is>
      </c>
      <c r="AT89" s="46" t="inlineStr">
        <is>
          <t>·</t>
        </is>
      </c>
      <c r="AU89" s="46" t="inlineStr">
        <is>
          <t>·</t>
        </is>
      </c>
      <c r="AV89" s="46" t="inlineStr">
        <is>
          <t>·</t>
        </is>
      </c>
      <c r="AW89" s="46" t="inlineStr">
        <is>
          <t>·</t>
        </is>
      </c>
      <c r="AX89" s="46" t="inlineStr">
        <is>
          <t>·</t>
        </is>
      </c>
      <c r="AY89" s="46" t="inlineStr">
        <is>
          <t>·</t>
        </is>
      </c>
      <c r="AZ89" s="46" t="inlineStr">
        <is>
          <t>·</t>
        </is>
      </c>
      <c r="BA89" s="46" t="inlineStr">
        <is>
          <t>·</t>
        </is>
      </c>
      <c r="BB89" s="46" t="inlineStr">
        <is>
          <t>·</t>
        </is>
      </c>
      <c r="BC89" s="46" t="inlineStr">
        <is>
          <t>·</t>
        </is>
      </c>
      <c r="BD89" s="46" t="inlineStr">
        <is>
          <t>·</t>
        </is>
      </c>
      <c r="BE89" s="46" t="inlineStr">
        <is>
          <t>·</t>
        </is>
      </c>
      <c r="BF89" s="46" t="inlineStr">
        <is>
          <t>·</t>
        </is>
      </c>
      <c r="BG89" s="46" t="inlineStr">
        <is>
          <t>·</t>
        </is>
      </c>
      <c r="BH89" s="46" t="inlineStr">
        <is>
          <t>·</t>
        </is>
      </c>
      <c r="BI89" s="46" t="inlineStr">
        <is>
          <t>·</t>
        </is>
      </c>
      <c r="BJ89" s="46" t="inlineStr">
        <is>
          <t>·</t>
        </is>
      </c>
      <c r="BK89" s="46" t="inlineStr">
        <is>
          <t>·</t>
        </is>
      </c>
      <c r="BL89" s="46" t="inlineStr">
        <is>
          <t>·</t>
        </is>
      </c>
      <c r="BN89" s="55" t="n">
        <v>0.25</v>
      </c>
      <c r="BO89" s="56">
        <f>BN89</f>
        <v/>
      </c>
      <c r="BP89" s="56">
        <f>BN89</f>
        <v/>
      </c>
      <c r="BQ89" s="56">
        <f>BN89</f>
        <v/>
      </c>
      <c r="BR89" s="56">
        <f>BN89</f>
        <v/>
      </c>
    </row>
    <row r="90">
      <c r="A90" s="42" t="inlineStr">
        <is>
          <t xml:space="preserve">    Ставка НДС, %</t>
        </is>
      </c>
      <c r="B90" s="43" t="inlineStr">
        <is>
          <t>%</t>
        </is>
      </c>
      <c r="C90" s="48" t="inlineStr">
        <is>
          <t>—</t>
        </is>
      </c>
      <c r="D90" s="45" t="inlineStr"/>
      <c r="E90" s="46" t="inlineStr">
        <is>
          <t>·</t>
        </is>
      </c>
      <c r="F90" s="46" t="inlineStr">
        <is>
          <t>·</t>
        </is>
      </c>
      <c r="G90" s="46" t="inlineStr">
        <is>
          <t>·</t>
        </is>
      </c>
      <c r="H90" s="46" t="inlineStr">
        <is>
          <t>·</t>
        </is>
      </c>
      <c r="I90" s="46" t="inlineStr">
        <is>
          <t>·</t>
        </is>
      </c>
      <c r="J90" s="46" t="inlineStr">
        <is>
          <t>·</t>
        </is>
      </c>
      <c r="K90" s="46" t="inlineStr">
        <is>
          <t>·</t>
        </is>
      </c>
      <c r="L90" s="46" t="inlineStr">
        <is>
          <t>·</t>
        </is>
      </c>
      <c r="M90" s="46" t="inlineStr">
        <is>
          <t>·</t>
        </is>
      </c>
      <c r="N90" s="46" t="inlineStr">
        <is>
          <t>·</t>
        </is>
      </c>
      <c r="O90" s="46" t="inlineStr">
        <is>
          <t>·</t>
        </is>
      </c>
      <c r="P90" s="46" t="inlineStr">
        <is>
          <t>·</t>
        </is>
      </c>
      <c r="Q90" s="46" t="inlineStr">
        <is>
          <t>·</t>
        </is>
      </c>
      <c r="R90" s="46" t="inlineStr">
        <is>
          <t>·</t>
        </is>
      </c>
      <c r="S90" s="46" t="inlineStr">
        <is>
          <t>·</t>
        </is>
      </c>
      <c r="T90" s="46" t="inlineStr">
        <is>
          <t>·</t>
        </is>
      </c>
      <c r="U90" s="46" t="inlineStr">
        <is>
          <t>·</t>
        </is>
      </c>
      <c r="V90" s="46" t="inlineStr">
        <is>
          <t>·</t>
        </is>
      </c>
      <c r="W90" s="46" t="inlineStr">
        <is>
          <t>·</t>
        </is>
      </c>
      <c r="X90" s="46" t="inlineStr">
        <is>
          <t>·</t>
        </is>
      </c>
      <c r="Y90" s="46" t="inlineStr">
        <is>
          <t>·</t>
        </is>
      </c>
      <c r="Z90" s="46" t="inlineStr">
        <is>
          <t>·</t>
        </is>
      </c>
      <c r="AA90" s="46" t="inlineStr">
        <is>
          <t>·</t>
        </is>
      </c>
      <c r="AB90" s="46" t="inlineStr">
        <is>
          <t>·</t>
        </is>
      </c>
      <c r="AC90" s="46" t="inlineStr">
        <is>
          <t>·</t>
        </is>
      </c>
      <c r="AD90" s="46" t="inlineStr">
        <is>
          <t>·</t>
        </is>
      </c>
      <c r="AE90" s="46" t="inlineStr">
        <is>
          <t>·</t>
        </is>
      </c>
      <c r="AF90" s="46" t="inlineStr">
        <is>
          <t>·</t>
        </is>
      </c>
      <c r="AG90" s="46" t="inlineStr">
        <is>
          <t>·</t>
        </is>
      </c>
      <c r="AH90" s="46" t="inlineStr">
        <is>
          <t>·</t>
        </is>
      </c>
      <c r="AI90" s="46" t="inlineStr">
        <is>
          <t>·</t>
        </is>
      </c>
      <c r="AJ90" s="46" t="inlineStr">
        <is>
          <t>·</t>
        </is>
      </c>
      <c r="AK90" s="46" t="inlineStr">
        <is>
          <t>·</t>
        </is>
      </c>
      <c r="AL90" s="46" t="inlineStr">
        <is>
          <t>·</t>
        </is>
      </c>
      <c r="AM90" s="46" t="inlineStr">
        <is>
          <t>·</t>
        </is>
      </c>
      <c r="AN90" s="46" t="inlineStr">
        <is>
          <t>·</t>
        </is>
      </c>
      <c r="AO90" s="46" t="inlineStr">
        <is>
          <t>·</t>
        </is>
      </c>
      <c r="AP90" s="46" t="inlineStr">
        <is>
          <t>·</t>
        </is>
      </c>
      <c r="AQ90" s="46" t="inlineStr">
        <is>
          <t>·</t>
        </is>
      </c>
      <c r="AR90" s="46" t="inlineStr">
        <is>
          <t>·</t>
        </is>
      </c>
      <c r="AS90" s="46" t="inlineStr">
        <is>
          <t>·</t>
        </is>
      </c>
      <c r="AT90" s="46" t="inlineStr">
        <is>
          <t>·</t>
        </is>
      </c>
      <c r="AU90" s="46" t="inlineStr">
        <is>
          <t>·</t>
        </is>
      </c>
      <c r="AV90" s="46" t="inlineStr">
        <is>
          <t>·</t>
        </is>
      </c>
      <c r="AW90" s="46" t="inlineStr">
        <is>
          <t>·</t>
        </is>
      </c>
      <c r="AX90" s="46" t="inlineStr">
        <is>
          <t>·</t>
        </is>
      </c>
      <c r="AY90" s="46" t="inlineStr">
        <is>
          <t>·</t>
        </is>
      </c>
      <c r="AZ90" s="46" t="inlineStr">
        <is>
          <t>·</t>
        </is>
      </c>
      <c r="BA90" s="46" t="inlineStr">
        <is>
          <t>·</t>
        </is>
      </c>
      <c r="BB90" s="46" t="inlineStr">
        <is>
          <t>·</t>
        </is>
      </c>
      <c r="BC90" s="46" t="inlineStr">
        <is>
          <t>·</t>
        </is>
      </c>
      <c r="BD90" s="46" t="inlineStr">
        <is>
          <t>·</t>
        </is>
      </c>
      <c r="BE90" s="46" t="inlineStr">
        <is>
          <t>·</t>
        </is>
      </c>
      <c r="BF90" s="46" t="inlineStr">
        <is>
          <t>·</t>
        </is>
      </c>
      <c r="BG90" s="46" t="inlineStr">
        <is>
          <t>·</t>
        </is>
      </c>
      <c r="BH90" s="46" t="inlineStr">
        <is>
          <t>·</t>
        </is>
      </c>
      <c r="BI90" s="46" t="inlineStr">
        <is>
          <t>·</t>
        </is>
      </c>
      <c r="BJ90" s="46" t="inlineStr">
        <is>
          <t>·</t>
        </is>
      </c>
      <c r="BK90" s="46" t="inlineStr">
        <is>
          <t>·</t>
        </is>
      </c>
      <c r="BL90" s="46" t="inlineStr">
        <is>
          <t>·</t>
        </is>
      </c>
      <c r="BN90" s="55" t="n">
        <v>0.22</v>
      </c>
      <c r="BO90" s="56">
        <f>BN90</f>
        <v/>
      </c>
      <c r="BP90" s="56">
        <f>BN90</f>
        <v/>
      </c>
      <c r="BQ90" s="56">
        <f>BN90</f>
        <v/>
      </c>
      <c r="BR90" s="56">
        <f>BN90</f>
        <v/>
      </c>
    </row>
    <row r="91">
      <c r="A91" s="42" t="inlineStr">
        <is>
          <t xml:space="preserve">    Лимит переноса убытка (NOL), % налоговой базы</t>
        </is>
      </c>
      <c r="B91" s="43" t="inlineStr">
        <is>
          <t>%</t>
        </is>
      </c>
      <c r="C91" s="48" t="inlineStr">
        <is>
          <t>—</t>
        </is>
      </c>
      <c r="D91" s="45" t="inlineStr"/>
      <c r="E91" s="46" t="inlineStr">
        <is>
          <t>·</t>
        </is>
      </c>
      <c r="F91" s="46" t="inlineStr">
        <is>
          <t>·</t>
        </is>
      </c>
      <c r="G91" s="46" t="inlineStr">
        <is>
          <t>·</t>
        </is>
      </c>
      <c r="H91" s="46" t="inlineStr">
        <is>
          <t>·</t>
        </is>
      </c>
      <c r="I91" s="46" t="inlineStr">
        <is>
          <t>·</t>
        </is>
      </c>
      <c r="J91" s="46" t="inlineStr">
        <is>
          <t>·</t>
        </is>
      </c>
      <c r="K91" s="46" t="inlineStr">
        <is>
          <t>·</t>
        </is>
      </c>
      <c r="L91" s="46" t="inlineStr">
        <is>
          <t>·</t>
        </is>
      </c>
      <c r="M91" s="46" t="inlineStr">
        <is>
          <t>·</t>
        </is>
      </c>
      <c r="N91" s="46" t="inlineStr">
        <is>
          <t>·</t>
        </is>
      </c>
      <c r="O91" s="46" t="inlineStr">
        <is>
          <t>·</t>
        </is>
      </c>
      <c r="P91" s="46" t="inlineStr">
        <is>
          <t>·</t>
        </is>
      </c>
      <c r="Q91" s="46" t="inlineStr">
        <is>
          <t>·</t>
        </is>
      </c>
      <c r="R91" s="46" t="inlineStr">
        <is>
          <t>·</t>
        </is>
      </c>
      <c r="S91" s="46" t="inlineStr">
        <is>
          <t>·</t>
        </is>
      </c>
      <c r="T91" s="46" t="inlineStr">
        <is>
          <t>·</t>
        </is>
      </c>
      <c r="U91" s="46" t="inlineStr">
        <is>
          <t>·</t>
        </is>
      </c>
      <c r="V91" s="46" t="inlineStr">
        <is>
          <t>·</t>
        </is>
      </c>
      <c r="W91" s="46" t="inlineStr">
        <is>
          <t>·</t>
        </is>
      </c>
      <c r="X91" s="46" t="inlineStr">
        <is>
          <t>·</t>
        </is>
      </c>
      <c r="Y91" s="46" t="inlineStr">
        <is>
          <t>·</t>
        </is>
      </c>
      <c r="Z91" s="46" t="inlineStr">
        <is>
          <t>·</t>
        </is>
      </c>
      <c r="AA91" s="46" t="inlineStr">
        <is>
          <t>·</t>
        </is>
      </c>
      <c r="AB91" s="46" t="inlineStr">
        <is>
          <t>·</t>
        </is>
      </c>
      <c r="AC91" s="46" t="inlineStr">
        <is>
          <t>·</t>
        </is>
      </c>
      <c r="AD91" s="46" t="inlineStr">
        <is>
          <t>·</t>
        </is>
      </c>
      <c r="AE91" s="46" t="inlineStr">
        <is>
          <t>·</t>
        </is>
      </c>
      <c r="AF91" s="46" t="inlineStr">
        <is>
          <t>·</t>
        </is>
      </c>
      <c r="AG91" s="46" t="inlineStr">
        <is>
          <t>·</t>
        </is>
      </c>
      <c r="AH91" s="46" t="inlineStr">
        <is>
          <t>·</t>
        </is>
      </c>
      <c r="AI91" s="46" t="inlineStr">
        <is>
          <t>·</t>
        </is>
      </c>
      <c r="AJ91" s="46" t="inlineStr">
        <is>
          <t>·</t>
        </is>
      </c>
      <c r="AK91" s="46" t="inlineStr">
        <is>
          <t>·</t>
        </is>
      </c>
      <c r="AL91" s="46" t="inlineStr">
        <is>
          <t>·</t>
        </is>
      </c>
      <c r="AM91" s="46" t="inlineStr">
        <is>
          <t>·</t>
        </is>
      </c>
      <c r="AN91" s="46" t="inlineStr">
        <is>
          <t>·</t>
        </is>
      </c>
      <c r="AO91" s="46" t="inlineStr">
        <is>
          <t>·</t>
        </is>
      </c>
      <c r="AP91" s="46" t="inlineStr">
        <is>
          <t>·</t>
        </is>
      </c>
      <c r="AQ91" s="46" t="inlineStr">
        <is>
          <t>·</t>
        </is>
      </c>
      <c r="AR91" s="46" t="inlineStr">
        <is>
          <t>·</t>
        </is>
      </c>
      <c r="AS91" s="46" t="inlineStr">
        <is>
          <t>·</t>
        </is>
      </c>
      <c r="AT91" s="46" t="inlineStr">
        <is>
          <t>·</t>
        </is>
      </c>
      <c r="AU91" s="46" t="inlineStr">
        <is>
          <t>·</t>
        </is>
      </c>
      <c r="AV91" s="46" t="inlineStr">
        <is>
          <t>·</t>
        </is>
      </c>
      <c r="AW91" s="46" t="inlineStr">
        <is>
          <t>·</t>
        </is>
      </c>
      <c r="AX91" s="46" t="inlineStr">
        <is>
          <t>·</t>
        </is>
      </c>
      <c r="AY91" s="46" t="inlineStr">
        <is>
          <t>·</t>
        </is>
      </c>
      <c r="AZ91" s="46" t="inlineStr">
        <is>
          <t>·</t>
        </is>
      </c>
      <c r="BA91" s="46" t="inlineStr">
        <is>
          <t>·</t>
        </is>
      </c>
      <c r="BB91" s="46" t="inlineStr">
        <is>
          <t>·</t>
        </is>
      </c>
      <c r="BC91" s="46" t="inlineStr">
        <is>
          <t>·</t>
        </is>
      </c>
      <c r="BD91" s="46" t="inlineStr">
        <is>
          <t>·</t>
        </is>
      </c>
      <c r="BE91" s="46" t="inlineStr">
        <is>
          <t>·</t>
        </is>
      </c>
      <c r="BF91" s="46" t="inlineStr">
        <is>
          <t>·</t>
        </is>
      </c>
      <c r="BG91" s="46" t="inlineStr">
        <is>
          <t>·</t>
        </is>
      </c>
      <c r="BH91" s="46" t="inlineStr">
        <is>
          <t>·</t>
        </is>
      </c>
      <c r="BI91" s="46" t="inlineStr">
        <is>
          <t>·</t>
        </is>
      </c>
      <c r="BJ91" s="46" t="inlineStr">
        <is>
          <t>·</t>
        </is>
      </c>
      <c r="BK91" s="46" t="inlineStr">
        <is>
          <t>·</t>
        </is>
      </c>
      <c r="BL91" s="46" t="inlineStr">
        <is>
          <t>·</t>
        </is>
      </c>
      <c r="BN91" s="55" t="n">
        <v>0.5</v>
      </c>
      <c r="BO91" s="56">
        <f>BN91</f>
        <v/>
      </c>
      <c r="BP91" s="56">
        <f>BN91</f>
        <v/>
      </c>
      <c r="BQ91" s="56">
        <f>BN91</f>
        <v/>
      </c>
      <c r="BR91" s="56">
        <f>BN91</f>
        <v/>
      </c>
    </row>
    <row r="92"/>
    <row r="93" ht="22" customHeight="1">
      <c r="A93" s="41" t="inlineStr">
        <is>
          <t xml:space="preserve">  ОБОРОТНЫЙ КАПИТАЛ И СТАРТОВЫЕ ОСТАТКИ — ДОПУЩЕНИЯ (дни оборота)</t>
        </is>
      </c>
    </row>
    <row r="94">
      <c r="A94" s="42" t="inlineStr">
        <is>
          <t xml:space="preserve">    DSO — дни (AR = Выручка × DSO/365)</t>
        </is>
      </c>
      <c r="B94" s="43" t="inlineStr">
        <is>
          <t>дней</t>
        </is>
      </c>
      <c r="C94" s="48" t="inlineStr">
        <is>
          <t>—</t>
        </is>
      </c>
      <c r="D94" s="45" t="inlineStr"/>
      <c r="E94" s="46" t="inlineStr">
        <is>
          <t>·</t>
        </is>
      </c>
      <c r="F94" s="46" t="inlineStr">
        <is>
          <t>·</t>
        </is>
      </c>
      <c r="G94" s="46" t="inlineStr">
        <is>
          <t>·</t>
        </is>
      </c>
      <c r="H94" s="46" t="inlineStr">
        <is>
          <t>·</t>
        </is>
      </c>
      <c r="I94" s="46" t="inlineStr">
        <is>
          <t>·</t>
        </is>
      </c>
      <c r="J94" s="46" t="inlineStr">
        <is>
          <t>·</t>
        </is>
      </c>
      <c r="K94" s="46" t="inlineStr">
        <is>
          <t>·</t>
        </is>
      </c>
      <c r="L94" s="46" t="inlineStr">
        <is>
          <t>·</t>
        </is>
      </c>
      <c r="M94" s="46" t="inlineStr">
        <is>
          <t>·</t>
        </is>
      </c>
      <c r="N94" s="46" t="inlineStr">
        <is>
          <t>·</t>
        </is>
      </c>
      <c r="O94" s="46" t="inlineStr">
        <is>
          <t>·</t>
        </is>
      </c>
      <c r="P94" s="46" t="inlineStr">
        <is>
          <t>·</t>
        </is>
      </c>
      <c r="Q94" s="46" t="inlineStr">
        <is>
          <t>·</t>
        </is>
      </c>
      <c r="R94" s="46" t="inlineStr">
        <is>
          <t>·</t>
        </is>
      </c>
      <c r="S94" s="46" t="inlineStr">
        <is>
          <t>·</t>
        </is>
      </c>
      <c r="T94" s="46" t="inlineStr">
        <is>
          <t>·</t>
        </is>
      </c>
      <c r="U94" s="46" t="inlineStr">
        <is>
          <t>·</t>
        </is>
      </c>
      <c r="V94" s="46" t="inlineStr">
        <is>
          <t>·</t>
        </is>
      </c>
      <c r="W94" s="46" t="inlineStr">
        <is>
          <t>·</t>
        </is>
      </c>
      <c r="X94" s="46" t="inlineStr">
        <is>
          <t>·</t>
        </is>
      </c>
      <c r="Y94" s="46" t="inlineStr">
        <is>
          <t>·</t>
        </is>
      </c>
      <c r="Z94" s="46" t="inlineStr">
        <is>
          <t>·</t>
        </is>
      </c>
      <c r="AA94" s="46" t="inlineStr">
        <is>
          <t>·</t>
        </is>
      </c>
      <c r="AB94" s="46" t="inlineStr">
        <is>
          <t>·</t>
        </is>
      </c>
      <c r="AC94" s="46" t="inlineStr">
        <is>
          <t>·</t>
        </is>
      </c>
      <c r="AD94" s="46" t="inlineStr">
        <is>
          <t>·</t>
        </is>
      </c>
      <c r="AE94" s="46" t="inlineStr">
        <is>
          <t>·</t>
        </is>
      </c>
      <c r="AF94" s="46" t="inlineStr">
        <is>
          <t>·</t>
        </is>
      </c>
      <c r="AG94" s="46" t="inlineStr">
        <is>
          <t>·</t>
        </is>
      </c>
      <c r="AH94" s="46" t="inlineStr">
        <is>
          <t>·</t>
        </is>
      </c>
      <c r="AI94" s="46" t="inlineStr">
        <is>
          <t>·</t>
        </is>
      </c>
      <c r="AJ94" s="46" t="inlineStr">
        <is>
          <t>·</t>
        </is>
      </c>
      <c r="AK94" s="46" t="inlineStr">
        <is>
          <t>·</t>
        </is>
      </c>
      <c r="AL94" s="46" t="inlineStr">
        <is>
          <t>·</t>
        </is>
      </c>
      <c r="AM94" s="46" t="inlineStr">
        <is>
          <t>·</t>
        </is>
      </c>
      <c r="AN94" s="46" t="inlineStr">
        <is>
          <t>·</t>
        </is>
      </c>
      <c r="AO94" s="46" t="inlineStr">
        <is>
          <t>·</t>
        </is>
      </c>
      <c r="AP94" s="46" t="inlineStr">
        <is>
          <t>·</t>
        </is>
      </c>
      <c r="AQ94" s="46" t="inlineStr">
        <is>
          <t>·</t>
        </is>
      </c>
      <c r="AR94" s="46" t="inlineStr">
        <is>
          <t>·</t>
        </is>
      </c>
      <c r="AS94" s="46" t="inlineStr">
        <is>
          <t>·</t>
        </is>
      </c>
      <c r="AT94" s="46" t="inlineStr">
        <is>
          <t>·</t>
        </is>
      </c>
      <c r="AU94" s="46" t="inlineStr">
        <is>
          <t>·</t>
        </is>
      </c>
      <c r="AV94" s="46" t="inlineStr">
        <is>
          <t>·</t>
        </is>
      </c>
      <c r="AW94" s="46" t="inlineStr">
        <is>
          <t>·</t>
        </is>
      </c>
      <c r="AX94" s="46" t="inlineStr">
        <is>
          <t>·</t>
        </is>
      </c>
      <c r="AY94" s="46" t="inlineStr">
        <is>
          <t>·</t>
        </is>
      </c>
      <c r="AZ94" s="46" t="inlineStr">
        <is>
          <t>·</t>
        </is>
      </c>
      <c r="BA94" s="46" t="inlineStr">
        <is>
          <t>·</t>
        </is>
      </c>
      <c r="BB94" s="46" t="inlineStr">
        <is>
          <t>·</t>
        </is>
      </c>
      <c r="BC94" s="46" t="inlineStr">
        <is>
          <t>·</t>
        </is>
      </c>
      <c r="BD94" s="46" t="inlineStr">
        <is>
          <t>·</t>
        </is>
      </c>
      <c r="BE94" s="46" t="inlineStr">
        <is>
          <t>·</t>
        </is>
      </c>
      <c r="BF94" s="46" t="inlineStr">
        <is>
          <t>·</t>
        </is>
      </c>
      <c r="BG94" s="46" t="inlineStr">
        <is>
          <t>·</t>
        </is>
      </c>
      <c r="BH94" s="46" t="inlineStr">
        <is>
          <t>·</t>
        </is>
      </c>
      <c r="BI94" s="46" t="inlineStr">
        <is>
          <t>·</t>
        </is>
      </c>
      <c r="BJ94" s="46" t="inlineStr">
        <is>
          <t>·</t>
        </is>
      </c>
      <c r="BK94" s="46" t="inlineStr">
        <is>
          <t>·</t>
        </is>
      </c>
      <c r="BL94" s="46" t="inlineStr">
        <is>
          <t>·</t>
        </is>
      </c>
      <c r="BN94" s="63" t="n">
        <v>0</v>
      </c>
      <c r="BO94" s="64">
        <f>BN94</f>
        <v/>
      </c>
      <c r="BP94" s="64">
        <f>BN94</f>
        <v/>
      </c>
      <c r="BQ94" s="64">
        <f>BN94</f>
        <v/>
      </c>
      <c r="BR94" s="64">
        <f>BN94</f>
        <v/>
      </c>
    </row>
    <row r="95">
      <c r="A95" s="42" t="inlineStr">
        <is>
          <t xml:space="preserve">    DIO — дни (Inventory = COGS × DIO/365)</t>
        </is>
      </c>
      <c r="B95" s="43" t="inlineStr">
        <is>
          <t>дней</t>
        </is>
      </c>
      <c r="C95" s="48" t="inlineStr">
        <is>
          <t>—</t>
        </is>
      </c>
      <c r="D95" s="45" t="inlineStr"/>
      <c r="E95" s="46" t="inlineStr">
        <is>
          <t>·</t>
        </is>
      </c>
      <c r="F95" s="46" t="inlineStr">
        <is>
          <t>·</t>
        </is>
      </c>
      <c r="G95" s="46" t="inlineStr">
        <is>
          <t>·</t>
        </is>
      </c>
      <c r="H95" s="46" t="inlineStr">
        <is>
          <t>·</t>
        </is>
      </c>
      <c r="I95" s="46" t="inlineStr">
        <is>
          <t>·</t>
        </is>
      </c>
      <c r="J95" s="46" t="inlineStr">
        <is>
          <t>·</t>
        </is>
      </c>
      <c r="K95" s="46" t="inlineStr">
        <is>
          <t>·</t>
        </is>
      </c>
      <c r="L95" s="46" t="inlineStr">
        <is>
          <t>·</t>
        </is>
      </c>
      <c r="M95" s="46" t="inlineStr">
        <is>
          <t>·</t>
        </is>
      </c>
      <c r="N95" s="46" t="inlineStr">
        <is>
          <t>·</t>
        </is>
      </c>
      <c r="O95" s="46" t="inlineStr">
        <is>
          <t>·</t>
        </is>
      </c>
      <c r="P95" s="46" t="inlineStr">
        <is>
          <t>·</t>
        </is>
      </c>
      <c r="Q95" s="46" t="inlineStr">
        <is>
          <t>·</t>
        </is>
      </c>
      <c r="R95" s="46" t="inlineStr">
        <is>
          <t>·</t>
        </is>
      </c>
      <c r="S95" s="46" t="inlineStr">
        <is>
          <t>·</t>
        </is>
      </c>
      <c r="T95" s="46" t="inlineStr">
        <is>
          <t>·</t>
        </is>
      </c>
      <c r="U95" s="46" t="inlineStr">
        <is>
          <t>·</t>
        </is>
      </c>
      <c r="V95" s="46" t="inlineStr">
        <is>
          <t>·</t>
        </is>
      </c>
      <c r="W95" s="46" t="inlineStr">
        <is>
          <t>·</t>
        </is>
      </c>
      <c r="X95" s="46" t="inlineStr">
        <is>
          <t>·</t>
        </is>
      </c>
      <c r="Y95" s="46" t="inlineStr">
        <is>
          <t>·</t>
        </is>
      </c>
      <c r="Z95" s="46" t="inlineStr">
        <is>
          <t>·</t>
        </is>
      </c>
      <c r="AA95" s="46" t="inlineStr">
        <is>
          <t>·</t>
        </is>
      </c>
      <c r="AB95" s="46" t="inlineStr">
        <is>
          <t>·</t>
        </is>
      </c>
      <c r="AC95" s="46" t="inlineStr">
        <is>
          <t>·</t>
        </is>
      </c>
      <c r="AD95" s="46" t="inlineStr">
        <is>
          <t>·</t>
        </is>
      </c>
      <c r="AE95" s="46" t="inlineStr">
        <is>
          <t>·</t>
        </is>
      </c>
      <c r="AF95" s="46" t="inlineStr">
        <is>
          <t>·</t>
        </is>
      </c>
      <c r="AG95" s="46" t="inlineStr">
        <is>
          <t>·</t>
        </is>
      </c>
      <c r="AH95" s="46" t="inlineStr">
        <is>
          <t>·</t>
        </is>
      </c>
      <c r="AI95" s="46" t="inlineStr">
        <is>
          <t>·</t>
        </is>
      </c>
      <c r="AJ95" s="46" t="inlineStr">
        <is>
          <t>·</t>
        </is>
      </c>
      <c r="AK95" s="46" t="inlineStr">
        <is>
          <t>·</t>
        </is>
      </c>
      <c r="AL95" s="46" t="inlineStr">
        <is>
          <t>·</t>
        </is>
      </c>
      <c r="AM95" s="46" t="inlineStr">
        <is>
          <t>·</t>
        </is>
      </c>
      <c r="AN95" s="46" t="inlineStr">
        <is>
          <t>·</t>
        </is>
      </c>
      <c r="AO95" s="46" t="inlineStr">
        <is>
          <t>·</t>
        </is>
      </c>
      <c r="AP95" s="46" t="inlineStr">
        <is>
          <t>·</t>
        </is>
      </c>
      <c r="AQ95" s="46" t="inlineStr">
        <is>
          <t>·</t>
        </is>
      </c>
      <c r="AR95" s="46" t="inlineStr">
        <is>
          <t>·</t>
        </is>
      </c>
      <c r="AS95" s="46" t="inlineStr">
        <is>
          <t>·</t>
        </is>
      </c>
      <c r="AT95" s="46" t="inlineStr">
        <is>
          <t>·</t>
        </is>
      </c>
      <c r="AU95" s="46" t="inlineStr">
        <is>
          <t>·</t>
        </is>
      </c>
      <c r="AV95" s="46" t="inlineStr">
        <is>
          <t>·</t>
        </is>
      </c>
      <c r="AW95" s="46" t="inlineStr">
        <is>
          <t>·</t>
        </is>
      </c>
      <c r="AX95" s="46" t="inlineStr">
        <is>
          <t>·</t>
        </is>
      </c>
      <c r="AY95" s="46" t="inlineStr">
        <is>
          <t>·</t>
        </is>
      </c>
      <c r="AZ95" s="46" t="inlineStr">
        <is>
          <t>·</t>
        </is>
      </c>
      <c r="BA95" s="46" t="inlineStr">
        <is>
          <t>·</t>
        </is>
      </c>
      <c r="BB95" s="46" t="inlineStr">
        <is>
          <t>·</t>
        </is>
      </c>
      <c r="BC95" s="46" t="inlineStr">
        <is>
          <t>·</t>
        </is>
      </c>
      <c r="BD95" s="46" t="inlineStr">
        <is>
          <t>·</t>
        </is>
      </c>
      <c r="BE95" s="46" t="inlineStr">
        <is>
          <t>·</t>
        </is>
      </c>
      <c r="BF95" s="46" t="inlineStr">
        <is>
          <t>·</t>
        </is>
      </c>
      <c r="BG95" s="46" t="inlineStr">
        <is>
          <t>·</t>
        </is>
      </c>
      <c r="BH95" s="46" t="inlineStr">
        <is>
          <t>·</t>
        </is>
      </c>
      <c r="BI95" s="46" t="inlineStr">
        <is>
          <t>·</t>
        </is>
      </c>
      <c r="BJ95" s="46" t="inlineStr">
        <is>
          <t>·</t>
        </is>
      </c>
      <c r="BK95" s="46" t="inlineStr">
        <is>
          <t>·</t>
        </is>
      </c>
      <c r="BL95" s="46" t="inlineStr">
        <is>
          <t>·</t>
        </is>
      </c>
      <c r="BN95" s="63" t="n">
        <v>15</v>
      </c>
      <c r="BO95" s="64">
        <f>BN95</f>
        <v/>
      </c>
      <c r="BP95" s="64">
        <f>BN95</f>
        <v/>
      </c>
      <c r="BQ95" s="64">
        <f>BN95</f>
        <v/>
      </c>
      <c r="BR95" s="64">
        <f>BN95</f>
        <v/>
      </c>
    </row>
    <row r="96">
      <c r="A96" s="42" t="inlineStr">
        <is>
          <t xml:space="preserve">    DPO — дни (AP = COGS × DPO/365)</t>
        </is>
      </c>
      <c r="B96" s="43" t="inlineStr">
        <is>
          <t>дней</t>
        </is>
      </c>
      <c r="C96" s="48" t="inlineStr">
        <is>
          <t>—</t>
        </is>
      </c>
      <c r="D96" s="45" t="inlineStr"/>
      <c r="E96" s="46" t="inlineStr">
        <is>
          <t>·</t>
        </is>
      </c>
      <c r="F96" s="46" t="inlineStr">
        <is>
          <t>·</t>
        </is>
      </c>
      <c r="G96" s="46" t="inlineStr">
        <is>
          <t>·</t>
        </is>
      </c>
      <c r="H96" s="46" t="inlineStr">
        <is>
          <t>·</t>
        </is>
      </c>
      <c r="I96" s="46" t="inlineStr">
        <is>
          <t>·</t>
        </is>
      </c>
      <c r="J96" s="46" t="inlineStr">
        <is>
          <t>·</t>
        </is>
      </c>
      <c r="K96" s="46" t="inlineStr">
        <is>
          <t>·</t>
        </is>
      </c>
      <c r="L96" s="46" t="inlineStr">
        <is>
          <t>·</t>
        </is>
      </c>
      <c r="M96" s="46" t="inlineStr">
        <is>
          <t>·</t>
        </is>
      </c>
      <c r="N96" s="46" t="inlineStr">
        <is>
          <t>·</t>
        </is>
      </c>
      <c r="O96" s="46" t="inlineStr">
        <is>
          <t>·</t>
        </is>
      </c>
      <c r="P96" s="46" t="inlineStr">
        <is>
          <t>·</t>
        </is>
      </c>
      <c r="Q96" s="46" t="inlineStr">
        <is>
          <t>·</t>
        </is>
      </c>
      <c r="R96" s="46" t="inlineStr">
        <is>
          <t>·</t>
        </is>
      </c>
      <c r="S96" s="46" t="inlineStr">
        <is>
          <t>·</t>
        </is>
      </c>
      <c r="T96" s="46" t="inlineStr">
        <is>
          <t>·</t>
        </is>
      </c>
      <c r="U96" s="46" t="inlineStr">
        <is>
          <t>·</t>
        </is>
      </c>
      <c r="V96" s="46" t="inlineStr">
        <is>
          <t>·</t>
        </is>
      </c>
      <c r="W96" s="46" t="inlineStr">
        <is>
          <t>·</t>
        </is>
      </c>
      <c r="X96" s="46" t="inlineStr">
        <is>
          <t>·</t>
        </is>
      </c>
      <c r="Y96" s="46" t="inlineStr">
        <is>
          <t>·</t>
        </is>
      </c>
      <c r="Z96" s="46" t="inlineStr">
        <is>
          <t>·</t>
        </is>
      </c>
      <c r="AA96" s="46" t="inlineStr">
        <is>
          <t>·</t>
        </is>
      </c>
      <c r="AB96" s="46" t="inlineStr">
        <is>
          <t>·</t>
        </is>
      </c>
      <c r="AC96" s="46" t="inlineStr">
        <is>
          <t>·</t>
        </is>
      </c>
      <c r="AD96" s="46" t="inlineStr">
        <is>
          <t>·</t>
        </is>
      </c>
      <c r="AE96" s="46" t="inlineStr">
        <is>
          <t>·</t>
        </is>
      </c>
      <c r="AF96" s="46" t="inlineStr">
        <is>
          <t>·</t>
        </is>
      </c>
      <c r="AG96" s="46" t="inlineStr">
        <is>
          <t>·</t>
        </is>
      </c>
      <c r="AH96" s="46" t="inlineStr">
        <is>
          <t>·</t>
        </is>
      </c>
      <c r="AI96" s="46" t="inlineStr">
        <is>
          <t>·</t>
        </is>
      </c>
      <c r="AJ96" s="46" t="inlineStr">
        <is>
          <t>·</t>
        </is>
      </c>
      <c r="AK96" s="46" t="inlineStr">
        <is>
          <t>·</t>
        </is>
      </c>
      <c r="AL96" s="46" t="inlineStr">
        <is>
          <t>·</t>
        </is>
      </c>
      <c r="AM96" s="46" t="inlineStr">
        <is>
          <t>·</t>
        </is>
      </c>
      <c r="AN96" s="46" t="inlineStr">
        <is>
          <t>·</t>
        </is>
      </c>
      <c r="AO96" s="46" t="inlineStr">
        <is>
          <t>·</t>
        </is>
      </c>
      <c r="AP96" s="46" t="inlineStr">
        <is>
          <t>·</t>
        </is>
      </c>
      <c r="AQ96" s="46" t="inlineStr">
        <is>
          <t>·</t>
        </is>
      </c>
      <c r="AR96" s="46" t="inlineStr">
        <is>
          <t>·</t>
        </is>
      </c>
      <c r="AS96" s="46" t="inlineStr">
        <is>
          <t>·</t>
        </is>
      </c>
      <c r="AT96" s="46" t="inlineStr">
        <is>
          <t>·</t>
        </is>
      </c>
      <c r="AU96" s="46" t="inlineStr">
        <is>
          <t>·</t>
        </is>
      </c>
      <c r="AV96" s="46" t="inlineStr">
        <is>
          <t>·</t>
        </is>
      </c>
      <c r="AW96" s="46" t="inlineStr">
        <is>
          <t>·</t>
        </is>
      </c>
      <c r="AX96" s="46" t="inlineStr">
        <is>
          <t>·</t>
        </is>
      </c>
      <c r="AY96" s="46" t="inlineStr">
        <is>
          <t>·</t>
        </is>
      </c>
      <c r="AZ96" s="46" t="inlineStr">
        <is>
          <t>·</t>
        </is>
      </c>
      <c r="BA96" s="46" t="inlineStr">
        <is>
          <t>·</t>
        </is>
      </c>
      <c r="BB96" s="46" t="inlineStr">
        <is>
          <t>·</t>
        </is>
      </c>
      <c r="BC96" s="46" t="inlineStr">
        <is>
          <t>·</t>
        </is>
      </c>
      <c r="BD96" s="46" t="inlineStr">
        <is>
          <t>·</t>
        </is>
      </c>
      <c r="BE96" s="46" t="inlineStr">
        <is>
          <t>·</t>
        </is>
      </c>
      <c r="BF96" s="46" t="inlineStr">
        <is>
          <t>·</t>
        </is>
      </c>
      <c r="BG96" s="46" t="inlineStr">
        <is>
          <t>·</t>
        </is>
      </c>
      <c r="BH96" s="46" t="inlineStr">
        <is>
          <t>·</t>
        </is>
      </c>
      <c r="BI96" s="46" t="inlineStr">
        <is>
          <t>·</t>
        </is>
      </c>
      <c r="BJ96" s="46" t="inlineStr">
        <is>
          <t>·</t>
        </is>
      </c>
      <c r="BK96" s="46" t="inlineStr">
        <is>
          <t>·</t>
        </is>
      </c>
      <c r="BL96" s="46" t="inlineStr">
        <is>
          <t>·</t>
        </is>
      </c>
      <c r="BN96" s="63" t="n">
        <v>21</v>
      </c>
      <c r="BO96" s="64">
        <f>BN96</f>
        <v/>
      </c>
      <c r="BP96" s="64">
        <f>BN96</f>
        <v/>
      </c>
      <c r="BQ96" s="64">
        <f>BN96</f>
        <v/>
      </c>
      <c r="BR96" s="64">
        <f>BN96</f>
        <v/>
      </c>
    </row>
    <row r="97">
      <c r="A97" s="42" t="inlineStr">
        <is>
          <t xml:space="preserve">    RE Год 0 (нераспр. прибыль, нач. баланс) — ВВОД</t>
        </is>
      </c>
      <c r="B97" s="43" t="inlineStr">
        <is>
          <t>млн ₽</t>
        </is>
      </c>
      <c r="C97" s="48" t="inlineStr">
        <is>
          <t>—</t>
        </is>
      </c>
      <c r="D97" s="45" t="inlineStr"/>
      <c r="E97" s="46" t="inlineStr">
        <is>
          <t>·</t>
        </is>
      </c>
      <c r="F97" s="46" t="inlineStr">
        <is>
          <t>·</t>
        </is>
      </c>
      <c r="G97" s="46" t="inlineStr">
        <is>
          <t>·</t>
        </is>
      </c>
      <c r="H97" s="46" t="inlineStr">
        <is>
          <t>·</t>
        </is>
      </c>
      <c r="I97" s="46" t="inlineStr">
        <is>
          <t>·</t>
        </is>
      </c>
      <c r="J97" s="46" t="inlineStr">
        <is>
          <t>·</t>
        </is>
      </c>
      <c r="K97" s="46" t="inlineStr">
        <is>
          <t>·</t>
        </is>
      </c>
      <c r="L97" s="46" t="inlineStr">
        <is>
          <t>·</t>
        </is>
      </c>
      <c r="M97" s="46" t="inlineStr">
        <is>
          <t>·</t>
        </is>
      </c>
      <c r="N97" s="46" t="inlineStr">
        <is>
          <t>·</t>
        </is>
      </c>
      <c r="O97" s="46" t="inlineStr">
        <is>
          <t>·</t>
        </is>
      </c>
      <c r="P97" s="46" t="inlineStr">
        <is>
          <t>·</t>
        </is>
      </c>
      <c r="Q97" s="46" t="inlineStr">
        <is>
          <t>·</t>
        </is>
      </c>
      <c r="R97" s="46" t="inlineStr">
        <is>
          <t>·</t>
        </is>
      </c>
      <c r="S97" s="46" t="inlineStr">
        <is>
          <t>·</t>
        </is>
      </c>
      <c r="T97" s="46" t="inlineStr">
        <is>
          <t>·</t>
        </is>
      </c>
      <c r="U97" s="46" t="inlineStr">
        <is>
          <t>·</t>
        </is>
      </c>
      <c r="V97" s="46" t="inlineStr">
        <is>
          <t>·</t>
        </is>
      </c>
      <c r="W97" s="46" t="inlineStr">
        <is>
          <t>·</t>
        </is>
      </c>
      <c r="X97" s="46" t="inlineStr">
        <is>
          <t>·</t>
        </is>
      </c>
      <c r="Y97" s="46" t="inlineStr">
        <is>
          <t>·</t>
        </is>
      </c>
      <c r="Z97" s="46" t="inlineStr">
        <is>
          <t>·</t>
        </is>
      </c>
      <c r="AA97" s="46" t="inlineStr">
        <is>
          <t>·</t>
        </is>
      </c>
      <c r="AB97" s="46" t="inlineStr">
        <is>
          <t>·</t>
        </is>
      </c>
      <c r="AC97" s="46" t="inlineStr">
        <is>
          <t>·</t>
        </is>
      </c>
      <c r="AD97" s="46" t="inlineStr">
        <is>
          <t>·</t>
        </is>
      </c>
      <c r="AE97" s="46" t="inlineStr">
        <is>
          <t>·</t>
        </is>
      </c>
      <c r="AF97" s="46" t="inlineStr">
        <is>
          <t>·</t>
        </is>
      </c>
      <c r="AG97" s="46" t="inlineStr">
        <is>
          <t>·</t>
        </is>
      </c>
      <c r="AH97" s="46" t="inlineStr">
        <is>
          <t>·</t>
        </is>
      </c>
      <c r="AI97" s="46" t="inlineStr">
        <is>
          <t>·</t>
        </is>
      </c>
      <c r="AJ97" s="46" t="inlineStr">
        <is>
          <t>·</t>
        </is>
      </c>
      <c r="AK97" s="46" t="inlineStr">
        <is>
          <t>·</t>
        </is>
      </c>
      <c r="AL97" s="46" t="inlineStr">
        <is>
          <t>·</t>
        </is>
      </c>
      <c r="AM97" s="46" t="inlineStr">
        <is>
          <t>·</t>
        </is>
      </c>
      <c r="AN97" s="46" t="inlineStr">
        <is>
          <t>·</t>
        </is>
      </c>
      <c r="AO97" s="46" t="inlineStr">
        <is>
          <t>·</t>
        </is>
      </c>
      <c r="AP97" s="46" t="inlineStr">
        <is>
          <t>·</t>
        </is>
      </c>
      <c r="AQ97" s="46" t="inlineStr">
        <is>
          <t>·</t>
        </is>
      </c>
      <c r="AR97" s="46" t="inlineStr">
        <is>
          <t>·</t>
        </is>
      </c>
      <c r="AS97" s="46" t="inlineStr">
        <is>
          <t>·</t>
        </is>
      </c>
      <c r="AT97" s="46" t="inlineStr">
        <is>
          <t>·</t>
        </is>
      </c>
      <c r="AU97" s="46" t="inlineStr">
        <is>
          <t>·</t>
        </is>
      </c>
      <c r="AV97" s="46" t="inlineStr">
        <is>
          <t>·</t>
        </is>
      </c>
      <c r="AW97" s="46" t="inlineStr">
        <is>
          <t>·</t>
        </is>
      </c>
      <c r="AX97" s="46" t="inlineStr">
        <is>
          <t>·</t>
        </is>
      </c>
      <c r="AY97" s="46" t="inlineStr">
        <is>
          <t>·</t>
        </is>
      </c>
      <c r="AZ97" s="46" t="inlineStr">
        <is>
          <t>·</t>
        </is>
      </c>
      <c r="BA97" s="46" t="inlineStr">
        <is>
          <t>·</t>
        </is>
      </c>
      <c r="BB97" s="46" t="inlineStr">
        <is>
          <t>·</t>
        </is>
      </c>
      <c r="BC97" s="46" t="inlineStr">
        <is>
          <t>·</t>
        </is>
      </c>
      <c r="BD97" s="46" t="inlineStr">
        <is>
          <t>·</t>
        </is>
      </c>
      <c r="BE97" s="46" t="inlineStr">
        <is>
          <t>·</t>
        </is>
      </c>
      <c r="BF97" s="46" t="inlineStr">
        <is>
          <t>·</t>
        </is>
      </c>
      <c r="BG97" s="46" t="inlineStr">
        <is>
          <t>·</t>
        </is>
      </c>
      <c r="BH97" s="46" t="inlineStr">
        <is>
          <t>·</t>
        </is>
      </c>
      <c r="BI97" s="46" t="inlineStr">
        <is>
          <t>·</t>
        </is>
      </c>
      <c r="BJ97" s="46" t="inlineStr">
        <is>
          <t>·</t>
        </is>
      </c>
      <c r="BK97" s="46" t="inlineStr">
        <is>
          <t>·</t>
        </is>
      </c>
      <c r="BL97" s="46" t="inlineStr">
        <is>
          <t>·</t>
        </is>
      </c>
      <c r="BN97" s="61" t="n">
        <v>0</v>
      </c>
      <c r="BO97" s="42" t="inlineStr"/>
      <c r="BP97" s="42" t="inlineStr"/>
      <c r="BQ97" s="42" t="inlineStr"/>
      <c r="BR97" s="42" t="inlineStr"/>
    </row>
    <row r="99" ht="22" customHeight="1">
      <c r="A99" s="41" t="inlineStr">
        <is>
          <t xml:space="preserve">  CASH FLOW — СТАРТОВЫЙ ОСТАТОК</t>
        </is>
      </c>
    </row>
    <row r="100">
      <c r="A100" s="42" t="inlineStr">
        <is>
          <t xml:space="preserve">    Cash Год 0 (нач. баланс) — ВВОД</t>
        </is>
      </c>
      <c r="B100" s="43" t="inlineStr">
        <is>
          <t>млн ₽</t>
        </is>
      </c>
      <c r="C100" s="48" t="inlineStr">
        <is>
          <t>—</t>
        </is>
      </c>
      <c r="D100" s="45" t="inlineStr"/>
      <c r="E100" s="46" t="inlineStr">
        <is>
          <t>·</t>
        </is>
      </c>
      <c r="F100" s="46" t="inlineStr">
        <is>
          <t>·</t>
        </is>
      </c>
      <c r="G100" s="46" t="inlineStr">
        <is>
          <t>·</t>
        </is>
      </c>
      <c r="H100" s="46" t="inlineStr">
        <is>
          <t>·</t>
        </is>
      </c>
      <c r="I100" s="46" t="inlineStr">
        <is>
          <t>·</t>
        </is>
      </c>
      <c r="J100" s="46" t="inlineStr">
        <is>
          <t>·</t>
        </is>
      </c>
      <c r="K100" s="46" t="inlineStr">
        <is>
          <t>·</t>
        </is>
      </c>
      <c r="L100" s="46" t="inlineStr">
        <is>
          <t>·</t>
        </is>
      </c>
      <c r="M100" s="46" t="inlineStr">
        <is>
          <t>·</t>
        </is>
      </c>
      <c r="N100" s="46" t="inlineStr">
        <is>
          <t>·</t>
        </is>
      </c>
      <c r="O100" s="46" t="inlineStr">
        <is>
          <t>·</t>
        </is>
      </c>
      <c r="P100" s="46" t="inlineStr">
        <is>
          <t>·</t>
        </is>
      </c>
      <c r="Q100" s="46" t="inlineStr">
        <is>
          <t>·</t>
        </is>
      </c>
      <c r="R100" s="46" t="inlineStr">
        <is>
          <t>·</t>
        </is>
      </c>
      <c r="S100" s="46" t="inlineStr">
        <is>
          <t>·</t>
        </is>
      </c>
      <c r="T100" s="46" t="inlineStr">
        <is>
          <t>·</t>
        </is>
      </c>
      <c r="U100" s="46" t="inlineStr">
        <is>
          <t>·</t>
        </is>
      </c>
      <c r="V100" s="46" t="inlineStr">
        <is>
          <t>·</t>
        </is>
      </c>
      <c r="W100" s="46" t="inlineStr">
        <is>
          <t>·</t>
        </is>
      </c>
      <c r="X100" s="46" t="inlineStr">
        <is>
          <t>·</t>
        </is>
      </c>
      <c r="Y100" s="46" t="inlineStr">
        <is>
          <t>·</t>
        </is>
      </c>
      <c r="Z100" s="46" t="inlineStr">
        <is>
          <t>·</t>
        </is>
      </c>
      <c r="AA100" s="46" t="inlineStr">
        <is>
          <t>·</t>
        </is>
      </c>
      <c r="AB100" s="46" t="inlineStr">
        <is>
          <t>·</t>
        </is>
      </c>
      <c r="AC100" s="46" t="inlineStr">
        <is>
          <t>·</t>
        </is>
      </c>
      <c r="AD100" s="46" t="inlineStr">
        <is>
          <t>·</t>
        </is>
      </c>
      <c r="AE100" s="46" t="inlineStr">
        <is>
          <t>·</t>
        </is>
      </c>
      <c r="AF100" s="46" t="inlineStr">
        <is>
          <t>·</t>
        </is>
      </c>
      <c r="AG100" s="46" t="inlineStr">
        <is>
          <t>·</t>
        </is>
      </c>
      <c r="AH100" s="46" t="inlineStr">
        <is>
          <t>·</t>
        </is>
      </c>
      <c r="AI100" s="46" t="inlineStr">
        <is>
          <t>·</t>
        </is>
      </c>
      <c r="AJ100" s="46" t="inlineStr">
        <is>
          <t>·</t>
        </is>
      </c>
      <c r="AK100" s="46" t="inlineStr">
        <is>
          <t>·</t>
        </is>
      </c>
      <c r="AL100" s="46" t="inlineStr">
        <is>
          <t>·</t>
        </is>
      </c>
      <c r="AM100" s="46" t="inlineStr">
        <is>
          <t>·</t>
        </is>
      </c>
      <c r="AN100" s="46" t="inlineStr">
        <is>
          <t>·</t>
        </is>
      </c>
      <c r="AO100" s="46" t="inlineStr">
        <is>
          <t>·</t>
        </is>
      </c>
      <c r="AP100" s="46" t="inlineStr">
        <is>
          <t>·</t>
        </is>
      </c>
      <c r="AQ100" s="46" t="inlineStr">
        <is>
          <t>·</t>
        </is>
      </c>
      <c r="AR100" s="46" t="inlineStr">
        <is>
          <t>·</t>
        </is>
      </c>
      <c r="AS100" s="46" t="inlineStr">
        <is>
          <t>·</t>
        </is>
      </c>
      <c r="AT100" s="46" t="inlineStr">
        <is>
          <t>·</t>
        </is>
      </c>
      <c r="AU100" s="46" t="inlineStr">
        <is>
          <t>·</t>
        </is>
      </c>
      <c r="AV100" s="46" t="inlineStr">
        <is>
          <t>·</t>
        </is>
      </c>
      <c r="AW100" s="46" t="inlineStr">
        <is>
          <t>·</t>
        </is>
      </c>
      <c r="AX100" s="46" t="inlineStr">
        <is>
          <t>·</t>
        </is>
      </c>
      <c r="AY100" s="46" t="inlineStr">
        <is>
          <t>·</t>
        </is>
      </c>
      <c r="AZ100" s="46" t="inlineStr">
        <is>
          <t>·</t>
        </is>
      </c>
      <c r="BA100" s="46" t="inlineStr">
        <is>
          <t>·</t>
        </is>
      </c>
      <c r="BB100" s="46" t="inlineStr">
        <is>
          <t>·</t>
        </is>
      </c>
      <c r="BC100" s="46" t="inlineStr">
        <is>
          <t>·</t>
        </is>
      </c>
      <c r="BD100" s="46" t="inlineStr">
        <is>
          <t>·</t>
        </is>
      </c>
      <c r="BE100" s="46" t="inlineStr">
        <is>
          <t>·</t>
        </is>
      </c>
      <c r="BF100" s="46" t="inlineStr">
        <is>
          <t>·</t>
        </is>
      </c>
      <c r="BG100" s="46" t="inlineStr">
        <is>
          <t>·</t>
        </is>
      </c>
      <c r="BH100" s="46" t="inlineStr">
        <is>
          <t>·</t>
        </is>
      </c>
      <c r="BI100" s="46" t="inlineStr">
        <is>
          <t>·</t>
        </is>
      </c>
      <c r="BJ100" s="46" t="inlineStr">
        <is>
          <t>·</t>
        </is>
      </c>
      <c r="BK100" s="46" t="inlineStr">
        <is>
          <t>·</t>
        </is>
      </c>
      <c r="BL100" s="46" t="inlineStr">
        <is>
          <t>·</t>
        </is>
      </c>
      <c r="BN100" s="61" t="n">
        <v>0</v>
      </c>
      <c r="BO100" s="42" t="inlineStr"/>
      <c r="BP100" s="42" t="inlineStr"/>
      <c r="BQ100" s="42" t="inlineStr"/>
      <c r="BR100" s="42" t="inlineStr"/>
    </row>
  </sheetData>
  <mergeCells count="15">
    <mergeCell ref="A59:BR59"/>
    <mergeCell ref="A73:BR73"/>
    <mergeCell ref="A2:BR2"/>
    <mergeCell ref="A41:I41"/>
    <mergeCell ref="A51:BR51"/>
    <mergeCell ref="A99:BR99"/>
    <mergeCell ref="A32:BR32"/>
    <mergeCell ref="A68:BR68"/>
    <mergeCell ref="A14:BR14"/>
    <mergeCell ref="A93:BR93"/>
    <mergeCell ref="A5:BR5"/>
    <mergeCell ref="A23:BR23"/>
    <mergeCell ref="A1:BR1"/>
    <mergeCell ref="A88:BR88"/>
    <mergeCell ref="A78:BR7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4" customWidth="1" min="2" max="2"/>
    <col width="14" customWidth="1" min="3" max="3"/>
    <col width="14" customWidth="1" min="4" max="4"/>
    <col width="14" customWidth="1" min="5" max="5"/>
    <col width="4" customWidth="1" min="6" max="6"/>
    <col width="40" customWidth="1" min="7" max="7"/>
  </cols>
  <sheetData>
    <row r="1" ht="32" customHeight="1">
      <c r="A1" s="32" t="inlineStr">
        <is>
          <t xml:space="preserve">  СЦЕНАРИИ — BEAR / BASE / BULL  |  переключатель пересчитывает всю модель</t>
        </is>
      </c>
    </row>
    <row r="2" ht="8" customHeight="1"/>
    <row r="3" ht="22" customHeight="1">
      <c r="A3" s="41" t="inlineStr">
        <is>
          <t xml:space="preserve">  ПЕРЕКЛЮЧАТЕЛЬ СЦЕНАРИЯ</t>
        </is>
      </c>
    </row>
    <row r="4" ht="22" customHeight="1">
      <c r="A4" s="65" t="inlineStr">
        <is>
          <t>Активный сценарий (1 = BEAR, 2 = BASE, 3 = BULL) — ВВОД</t>
        </is>
      </c>
      <c r="B4" s="43" t="inlineStr">
        <is>
          <t>1/2/3</t>
        </is>
      </c>
      <c r="E4" s="66" t="n">
        <v>2</v>
      </c>
    </row>
    <row r="5" ht="20" customHeight="1">
      <c r="A5" s="57" t="inlineStr">
        <is>
          <t>Название активного сценария</t>
        </is>
      </c>
      <c r="B5" s="52" t="inlineStr"/>
      <c r="E5" s="67">
        <f>CHOOSE(E4,"🔴 BEAR","⚪ BASE","🟢 BULL")</f>
        <v/>
      </c>
    </row>
    <row r="7" ht="22" customHeight="1">
      <c r="A7" s="62" t="inlineStr">
        <is>
          <t xml:space="preserve">  ДОПУЩЕНИЯ ПО СЦЕНАРИЯМ (жёлтые — можно править)</t>
        </is>
      </c>
    </row>
    <row r="8" ht="20" customHeight="1">
      <c r="A8" s="68" t="inlineStr">
        <is>
          <t>ДРАЙВЕР</t>
        </is>
      </c>
      <c r="B8" s="20" t="inlineStr"/>
      <c r="C8" s="20" t="inlineStr">
        <is>
          <t>BEAR</t>
        </is>
      </c>
      <c r="D8" s="20" t="inlineStr">
        <is>
          <t>BASE</t>
        </is>
      </c>
      <c r="E8" s="20" t="inlineStr">
        <is>
          <t>BULL</t>
        </is>
      </c>
    </row>
    <row r="9" ht="20" customHeight="1">
      <c r="A9" s="68" t="inlineStr">
        <is>
          <t>ДРАЙВЕР / СЦЕНАРИЙ</t>
        </is>
      </c>
      <c r="B9" s="68" t="inlineStr"/>
      <c r="C9" s="20" t="inlineStr">
        <is>
          <t>Г1</t>
        </is>
      </c>
      <c r="D9" s="20" t="inlineStr">
        <is>
          <t>Г2</t>
        </is>
      </c>
      <c r="E9" s="20" t="inlineStr">
        <is>
          <t>Г3</t>
        </is>
      </c>
      <c r="F9" s="20" t="inlineStr">
        <is>
          <t>Г4</t>
        </is>
      </c>
      <c r="G9" s="20" t="inlineStr">
        <is>
          <t>Г5</t>
        </is>
      </c>
    </row>
    <row r="10" ht="20" customHeight="1">
      <c r="A10" s="65" t="inlineStr">
        <is>
          <t>Множитель объёма, × (по годам)</t>
        </is>
      </c>
    </row>
    <row r="11" ht="18" customHeight="1">
      <c r="A11" s="42" t="inlineStr">
        <is>
          <t xml:space="preserve">        BEAR</t>
        </is>
      </c>
      <c r="B11" s="42" t="inlineStr"/>
      <c r="C11" s="69" t="n">
        <v>0.5</v>
      </c>
      <c r="D11" s="69" t="n">
        <v>0.5</v>
      </c>
      <c r="E11" s="69" t="n">
        <v>0.5</v>
      </c>
      <c r="F11" s="69" t="n">
        <v>0.5</v>
      </c>
      <c r="G11" s="69" t="n">
        <v>0.5</v>
      </c>
    </row>
    <row r="12" ht="18" customHeight="1">
      <c r="A12" s="42" t="inlineStr">
        <is>
          <t xml:space="preserve">        BASE</t>
        </is>
      </c>
      <c r="B12" s="42" t="inlineStr"/>
      <c r="C12" s="69" t="n">
        <v>1</v>
      </c>
      <c r="D12" s="69" t="n">
        <v>1</v>
      </c>
      <c r="E12" s="69" t="n">
        <v>1</v>
      </c>
      <c r="F12" s="69" t="n">
        <v>1</v>
      </c>
      <c r="G12" s="69" t="n">
        <v>1</v>
      </c>
    </row>
    <row r="13" ht="18" customHeight="1">
      <c r="A13" s="42" t="inlineStr">
        <is>
          <t xml:space="preserve">        BULL</t>
        </is>
      </c>
      <c r="B13" s="42" t="inlineStr"/>
      <c r="C13" s="69" t="n">
        <v>1.3</v>
      </c>
      <c r="D13" s="69" t="n">
        <v>1.3</v>
      </c>
      <c r="E13" s="69" t="n">
        <v>1.3</v>
      </c>
      <c r="F13" s="69" t="n">
        <v>1.3</v>
      </c>
      <c r="G13" s="69" t="n">
        <v>1.3</v>
      </c>
    </row>
    <row r="14" ht="20" customHeight="1">
      <c r="A14" s="65" t="inlineStr">
        <is>
          <t>Дельта инфляции цен, п.п./год (КОМПАУНДИТСЯ в цепочку цен, Г1 = база)</t>
        </is>
      </c>
    </row>
    <row r="15" ht="18" customHeight="1">
      <c r="A15" s="42" t="inlineStr">
        <is>
          <t xml:space="preserve">        BEAR</t>
        </is>
      </c>
      <c r="B15" s="42" t="inlineStr"/>
      <c r="C15" s="70" t="n">
        <v>0</v>
      </c>
      <c r="D15" s="70" t="n">
        <v>-0.02</v>
      </c>
      <c r="E15" s="70" t="n">
        <v>-0.02</v>
      </c>
      <c r="F15" s="70" t="n">
        <v>-0.02</v>
      </c>
      <c r="G15" s="70" t="n">
        <v>-0.02</v>
      </c>
    </row>
    <row r="16" ht="18" customHeight="1">
      <c r="A16" s="42" t="inlineStr">
        <is>
          <t xml:space="preserve">        BASE</t>
        </is>
      </c>
      <c r="B16" s="42" t="inlineStr"/>
      <c r="C16" s="70" t="n">
        <v>0</v>
      </c>
      <c r="D16" s="70" t="n">
        <v>0</v>
      </c>
      <c r="E16" s="70" t="n">
        <v>0</v>
      </c>
      <c r="F16" s="70" t="n">
        <v>0</v>
      </c>
      <c r="G16" s="70" t="n">
        <v>0</v>
      </c>
    </row>
    <row r="17" ht="18" customHeight="1">
      <c r="A17" s="42" t="inlineStr">
        <is>
          <t xml:space="preserve">        BULL</t>
        </is>
      </c>
      <c r="B17" s="42" t="inlineStr"/>
      <c r="C17" s="70" t="n">
        <v>0</v>
      </c>
      <c r="D17" s="70" t="n">
        <v>0.01</v>
      </c>
      <c r="E17" s="70" t="n">
        <v>0.01</v>
      </c>
      <c r="F17" s="70" t="n">
        <v>0.01</v>
      </c>
      <c r="G17" s="70" t="n">
        <v>0.01</v>
      </c>
    </row>
    <row r="18" ht="20" customHeight="1">
      <c r="A18" s="65" t="inlineStr">
        <is>
          <t>Дельта COGS (доля выручки), п.п. (по годам)</t>
        </is>
      </c>
    </row>
    <row r="19" ht="18" customHeight="1">
      <c r="A19" s="42" t="inlineStr">
        <is>
          <t xml:space="preserve">        BEAR</t>
        </is>
      </c>
      <c r="B19" s="42" t="inlineStr"/>
      <c r="C19" s="70" t="n">
        <v>0.03</v>
      </c>
      <c r="D19" s="70" t="n">
        <v>0.03</v>
      </c>
      <c r="E19" s="70" t="n">
        <v>0.03</v>
      </c>
      <c r="F19" s="70" t="n">
        <v>0.03</v>
      </c>
      <c r="G19" s="70" t="n">
        <v>0.03</v>
      </c>
    </row>
    <row r="20" ht="18" customHeight="1">
      <c r="A20" s="42" t="inlineStr">
        <is>
          <t xml:space="preserve">        BASE</t>
        </is>
      </c>
      <c r="B20" s="42" t="inlineStr"/>
      <c r="C20" s="70" t="n">
        <v>0</v>
      </c>
      <c r="D20" s="70" t="n">
        <v>0</v>
      </c>
      <c r="E20" s="70" t="n">
        <v>0</v>
      </c>
      <c r="F20" s="70" t="n">
        <v>0</v>
      </c>
      <c r="G20" s="70" t="n">
        <v>0</v>
      </c>
    </row>
    <row r="21" ht="18" customHeight="1">
      <c r="A21" s="42" t="inlineStr">
        <is>
          <t xml:space="preserve">        BULL</t>
        </is>
      </c>
      <c r="B21" s="42" t="inlineStr"/>
      <c r="C21" s="70" t="n">
        <v>-0.02</v>
      </c>
      <c r="D21" s="70" t="n">
        <v>-0.02</v>
      </c>
      <c r="E21" s="70" t="n">
        <v>-0.02</v>
      </c>
      <c r="F21" s="70" t="n">
        <v>-0.02</v>
      </c>
      <c r="G21" s="70" t="n">
        <v>-0.02</v>
      </c>
    </row>
    <row r="23" ht="22" customHeight="1">
      <c r="A23" s="41" t="inlineStr">
        <is>
          <t xml:space="preserve">  АКТИВНЫЕ ЗНАЧЕНИЯ ПО ГОДАМ (по переключателю)</t>
        </is>
      </c>
    </row>
    <row r="24" ht="20" customHeight="1">
      <c r="A24" s="51" t="inlineStr">
        <is>
          <t xml:space="preserve">    Активный множитель объёма (Г1..Г5)</t>
        </is>
      </c>
      <c r="B24" s="59" t="inlineStr"/>
      <c r="C24" s="71">
        <f>CHOOSE(E4,C11,C12,C13)</f>
        <v/>
      </c>
      <c r="D24" s="71">
        <f>CHOOSE(E4,D11,D12,D13)</f>
        <v/>
      </c>
      <c r="E24" s="71">
        <f>CHOOSE(E4,E11,E12,E13)</f>
        <v/>
      </c>
      <c r="F24" s="71">
        <f>CHOOSE(E4,F11,F12,F13)</f>
        <v/>
      </c>
      <c r="G24" s="71">
        <f>CHOOSE(E4,G11,G12,G13)</f>
        <v/>
      </c>
    </row>
    <row r="25" ht="20" customHeight="1">
      <c r="A25" s="51" t="inlineStr">
        <is>
          <t xml:space="preserve">    Активная дельта инфляции цен (Г1..Г5)</t>
        </is>
      </c>
      <c r="B25" s="59" t="inlineStr"/>
      <c r="C25" s="72">
        <f>CHOOSE(E4,C15,C16,C17)</f>
        <v/>
      </c>
      <c r="D25" s="72">
        <f>CHOOSE(E4,D15,D16,D17)</f>
        <v/>
      </c>
      <c r="E25" s="72">
        <f>CHOOSE(E4,E15,E16,E17)</f>
        <v/>
      </c>
      <c r="F25" s="72">
        <f>CHOOSE(E4,F15,F16,F17)</f>
        <v/>
      </c>
      <c r="G25" s="72">
        <f>CHOOSE(E4,G15,G16,G17)</f>
        <v/>
      </c>
    </row>
    <row r="26" ht="20" customHeight="1">
      <c r="A26" s="51" t="inlineStr">
        <is>
          <t xml:space="preserve">    Активная дельта COGS (Г1..Г5)</t>
        </is>
      </c>
      <c r="B26" s="59" t="inlineStr"/>
      <c r="C26" s="72">
        <f>CHOOSE(E4,C19,C20,C21)</f>
        <v/>
      </c>
      <c r="D26" s="72">
        <f>CHOOSE(E4,D19,D20,D21)</f>
        <v/>
      </c>
      <c r="E26" s="72">
        <f>CHOOSE(E4,E19,E20,E21)</f>
        <v/>
      </c>
      <c r="F26" s="72">
        <f>CHOOSE(E4,F19,F20,F21)</f>
        <v/>
      </c>
      <c r="G26" s="72">
        <f>CHOOSE(E4,G19,G20,G21)</f>
        <v/>
      </c>
    </row>
    <row r="28" ht="22" customHeight="1">
      <c r="A28" s="41" t="inlineStr">
        <is>
          <t xml:space="preserve">  АКТИВНЫЕ ЗНАЧЕНИЯ (по переключателю)</t>
        </is>
      </c>
    </row>
    <row r="29" ht="20" customHeight="1">
      <c r="A29" s="51" t="inlineStr">
        <is>
          <t xml:space="preserve">    Активный множитель роста объёма</t>
        </is>
      </c>
      <c r="B29" s="52" t="inlineStr"/>
      <c r="E29" s="73">
        <f>CHOOSE(E4,C{'BEAR': 11, 'BASE': 12, 'BULL': 13},D{'BEAR': 11, 'BASE': 12, 'BULL': 13},E{'BEAR': 11, 'BASE': 12, 'BULL': 13})</f>
        <v/>
      </c>
    </row>
    <row r="30" ht="20" customHeight="1">
      <c r="A30" s="51" t="inlineStr">
        <is>
          <t xml:space="preserve">    Активная дельта инфляции цен</t>
        </is>
      </c>
      <c r="B30" s="52" t="inlineStr"/>
      <c r="E30" s="72">
        <f>CHOOSE(E4,C{'BEAR': 15, 'BASE': 16, 'BULL': 17},D{'BEAR': 15, 'BASE': 16, 'BULL': 17},E{'BEAR': 15, 'BASE': 16, 'BULL': 17})</f>
        <v/>
      </c>
    </row>
    <row r="31" ht="20" customHeight="1">
      <c r="A31" s="51" t="inlineStr">
        <is>
          <t xml:space="preserve">    Активная дельта COGS</t>
        </is>
      </c>
      <c r="B31" s="52" t="inlineStr"/>
      <c r="E31" s="72">
        <f>CHOOSE(E4,C{'BEAR': 19, 'BASE': 20, 'BULL': 21},D{'BEAR': 19, 'BASE': 20, 'BULL': 21},E{'BEAR': 19, 'BASE': 20, 'BULL': 21})</f>
        <v/>
      </c>
    </row>
    <row r="33" ht="18" customHeight="1">
      <c r="A33" s="74" t="inlineStr">
        <is>
          <t>Переключатель двигает: объём (×множитель), цены (+дельта инфляции), COGS-статьи «% выручки» (+дельта). Остальное пересчитывается по цепочке.</t>
        </is>
      </c>
      <c r="B33" s="75" t="n"/>
      <c r="C33" s="75" t="n"/>
      <c r="D33" s="75" t="n"/>
      <c r="E33" s="75" t="n"/>
      <c r="F33" s="75" t="n"/>
      <c r="G33" s="76" t="n"/>
    </row>
  </sheetData>
  <mergeCells count="6">
    <mergeCell ref="A7:I7"/>
    <mergeCell ref="A1:G1"/>
    <mergeCell ref="A28:I28"/>
    <mergeCell ref="A23:I23"/>
    <mergeCell ref="A3:I3"/>
    <mergeCell ref="A33:G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0"/>
    <pageSetUpPr/>
  </sheetPr>
  <dimension ref="A1:BR32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ВЫРУЧКА (помесячно)</t>
        </is>
      </c>
    </row>
    <row r="2" ht="18" customHeight="1">
      <c r="A2" s="38" t="inlineStr">
        <is>
          <t xml:space="preserve">  🔵 импорт с Input  |  ⚫ Объём × Цена  |  🔴 экспорт в P&amp;L  |  М1..М60 + годовые суммы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62" t="inlineStr">
        <is>
          <t xml:space="preserve">  СЕГМЕНТ: ОБЩАЯ ЗОНА (БИЛЕТЫ)</t>
        </is>
      </c>
    </row>
    <row r="6">
      <c r="A6" s="42" t="inlineStr">
        <is>
          <t xml:space="preserve">    Объём (ед.)</t>
        </is>
      </c>
      <c r="B6" s="43" t="inlineStr">
        <is>
          <t>ед.</t>
        </is>
      </c>
      <c r="C6" s="53">
        <f>SUM(BN6:BR6)</f>
        <v/>
      </c>
      <c r="D6" s="45" t="inlineStr"/>
      <c r="E6" s="77">
        <f>Input!E9</f>
        <v/>
      </c>
      <c r="F6" s="77">
        <f>Input!F9</f>
        <v/>
      </c>
      <c r="G6" s="77">
        <f>Input!G9</f>
        <v/>
      </c>
      <c r="H6" s="77">
        <f>Input!H9</f>
        <v/>
      </c>
      <c r="I6" s="77">
        <f>Input!I9</f>
        <v/>
      </c>
      <c r="J6" s="77">
        <f>Input!J9</f>
        <v/>
      </c>
      <c r="K6" s="77">
        <f>Input!K9</f>
        <v/>
      </c>
      <c r="L6" s="77">
        <f>Input!L9</f>
        <v/>
      </c>
      <c r="M6" s="77">
        <f>Input!M9</f>
        <v/>
      </c>
      <c r="N6" s="77">
        <f>Input!N9</f>
        <v/>
      </c>
      <c r="O6" s="77">
        <f>Input!O9</f>
        <v/>
      </c>
      <c r="P6" s="77">
        <f>Input!P9</f>
        <v/>
      </c>
      <c r="Q6" s="77">
        <f>Input!Q9</f>
        <v/>
      </c>
      <c r="R6" s="77">
        <f>Input!R9</f>
        <v/>
      </c>
      <c r="S6" s="77">
        <f>Input!S9</f>
        <v/>
      </c>
      <c r="T6" s="77">
        <f>Input!T9</f>
        <v/>
      </c>
      <c r="U6" s="77">
        <f>Input!U9</f>
        <v/>
      </c>
      <c r="V6" s="77">
        <f>Input!V9</f>
        <v/>
      </c>
      <c r="W6" s="77">
        <f>Input!W9</f>
        <v/>
      </c>
      <c r="X6" s="77">
        <f>Input!X9</f>
        <v/>
      </c>
      <c r="Y6" s="77">
        <f>Input!Y9</f>
        <v/>
      </c>
      <c r="Z6" s="77">
        <f>Input!Z9</f>
        <v/>
      </c>
      <c r="AA6" s="77">
        <f>Input!AA9</f>
        <v/>
      </c>
      <c r="AB6" s="77">
        <f>Input!AB9</f>
        <v/>
      </c>
      <c r="AC6" s="77">
        <f>Input!AC9</f>
        <v/>
      </c>
      <c r="AD6" s="77">
        <f>Input!AD9</f>
        <v/>
      </c>
      <c r="AE6" s="77">
        <f>Input!AE9</f>
        <v/>
      </c>
      <c r="AF6" s="77">
        <f>Input!AF9</f>
        <v/>
      </c>
      <c r="AG6" s="77">
        <f>Input!AG9</f>
        <v/>
      </c>
      <c r="AH6" s="77">
        <f>Input!AH9</f>
        <v/>
      </c>
      <c r="AI6" s="77">
        <f>Input!AI9</f>
        <v/>
      </c>
      <c r="AJ6" s="77">
        <f>Input!AJ9</f>
        <v/>
      </c>
      <c r="AK6" s="77">
        <f>Input!AK9</f>
        <v/>
      </c>
      <c r="AL6" s="77">
        <f>Input!AL9</f>
        <v/>
      </c>
      <c r="AM6" s="77">
        <f>Input!AM9</f>
        <v/>
      </c>
      <c r="AN6" s="77">
        <f>Input!AN9</f>
        <v/>
      </c>
      <c r="AO6" s="77">
        <f>Input!AO9</f>
        <v/>
      </c>
      <c r="AP6" s="77">
        <f>Input!AP9</f>
        <v/>
      </c>
      <c r="AQ6" s="77">
        <f>Input!AQ9</f>
        <v/>
      </c>
      <c r="AR6" s="77">
        <f>Input!AR9</f>
        <v/>
      </c>
      <c r="AS6" s="77">
        <f>Input!AS9</f>
        <v/>
      </c>
      <c r="AT6" s="77">
        <f>Input!AT9</f>
        <v/>
      </c>
      <c r="AU6" s="77">
        <f>Input!AU9</f>
        <v/>
      </c>
      <c r="AV6" s="77">
        <f>Input!AV9</f>
        <v/>
      </c>
      <c r="AW6" s="77">
        <f>Input!AW9</f>
        <v/>
      </c>
      <c r="AX6" s="77">
        <f>Input!AX9</f>
        <v/>
      </c>
      <c r="AY6" s="77">
        <f>Input!AY9</f>
        <v/>
      </c>
      <c r="AZ6" s="77">
        <f>Input!AZ9</f>
        <v/>
      </c>
      <c r="BA6" s="77">
        <f>Input!BA9</f>
        <v/>
      </c>
      <c r="BB6" s="77">
        <f>Input!BB9</f>
        <v/>
      </c>
      <c r="BC6" s="77">
        <f>Input!BC9</f>
        <v/>
      </c>
      <c r="BD6" s="77">
        <f>Input!BD9</f>
        <v/>
      </c>
      <c r="BE6" s="77">
        <f>Input!BE9</f>
        <v/>
      </c>
      <c r="BF6" s="77">
        <f>Input!BF9</f>
        <v/>
      </c>
      <c r="BG6" s="77">
        <f>Input!BG9</f>
        <v/>
      </c>
      <c r="BH6" s="77">
        <f>Input!BH9</f>
        <v/>
      </c>
      <c r="BI6" s="77">
        <f>Input!BI9</f>
        <v/>
      </c>
      <c r="BJ6" s="77">
        <f>Input!BJ9</f>
        <v/>
      </c>
      <c r="BK6" s="77">
        <f>Input!BK9</f>
        <v/>
      </c>
      <c r="BL6" s="77">
        <f>Input!BL9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>
      <c r="A7" s="42" t="inlineStr">
        <is>
          <t xml:space="preserve">    Цена за единицу (руб) (мес)</t>
        </is>
      </c>
      <c r="B7" s="43" t="inlineStr">
        <is>
          <t>руб/ед</t>
        </is>
      </c>
      <c r="C7" s="48" t="inlineStr">
        <is>
          <t>—</t>
        </is>
      </c>
      <c r="D7" s="45" t="inlineStr"/>
      <c r="E7" s="77">
        <f>Input!E12</f>
        <v/>
      </c>
      <c r="F7" s="77">
        <f>Input!F12</f>
        <v/>
      </c>
      <c r="G7" s="77">
        <f>Input!G12</f>
        <v/>
      </c>
      <c r="H7" s="77">
        <f>Input!H12</f>
        <v/>
      </c>
      <c r="I7" s="77">
        <f>Input!I12</f>
        <v/>
      </c>
      <c r="J7" s="77">
        <f>Input!J12</f>
        <v/>
      </c>
      <c r="K7" s="77">
        <f>Input!K12</f>
        <v/>
      </c>
      <c r="L7" s="77">
        <f>Input!L12</f>
        <v/>
      </c>
      <c r="M7" s="77">
        <f>Input!M12</f>
        <v/>
      </c>
      <c r="N7" s="77">
        <f>Input!N12</f>
        <v/>
      </c>
      <c r="O7" s="77">
        <f>Input!O12</f>
        <v/>
      </c>
      <c r="P7" s="77">
        <f>Input!P12</f>
        <v/>
      </c>
      <c r="Q7" s="77">
        <f>Input!Q12</f>
        <v/>
      </c>
      <c r="R7" s="77">
        <f>Input!R12</f>
        <v/>
      </c>
      <c r="S7" s="77">
        <f>Input!S12</f>
        <v/>
      </c>
      <c r="T7" s="77">
        <f>Input!T12</f>
        <v/>
      </c>
      <c r="U7" s="77">
        <f>Input!U12</f>
        <v/>
      </c>
      <c r="V7" s="77">
        <f>Input!V12</f>
        <v/>
      </c>
      <c r="W7" s="77">
        <f>Input!W12</f>
        <v/>
      </c>
      <c r="X7" s="77">
        <f>Input!X12</f>
        <v/>
      </c>
      <c r="Y7" s="77">
        <f>Input!Y12</f>
        <v/>
      </c>
      <c r="Z7" s="77">
        <f>Input!Z12</f>
        <v/>
      </c>
      <c r="AA7" s="77">
        <f>Input!AA12</f>
        <v/>
      </c>
      <c r="AB7" s="77">
        <f>Input!AB12</f>
        <v/>
      </c>
      <c r="AC7" s="77">
        <f>Input!AC12</f>
        <v/>
      </c>
      <c r="AD7" s="77">
        <f>Input!AD12</f>
        <v/>
      </c>
      <c r="AE7" s="77">
        <f>Input!AE12</f>
        <v/>
      </c>
      <c r="AF7" s="77">
        <f>Input!AF12</f>
        <v/>
      </c>
      <c r="AG7" s="77">
        <f>Input!AG12</f>
        <v/>
      </c>
      <c r="AH7" s="77">
        <f>Input!AH12</f>
        <v/>
      </c>
      <c r="AI7" s="77">
        <f>Input!AI12</f>
        <v/>
      </c>
      <c r="AJ7" s="77">
        <f>Input!AJ12</f>
        <v/>
      </c>
      <c r="AK7" s="77">
        <f>Input!AK12</f>
        <v/>
      </c>
      <c r="AL7" s="77">
        <f>Input!AL12</f>
        <v/>
      </c>
      <c r="AM7" s="77">
        <f>Input!AM12</f>
        <v/>
      </c>
      <c r="AN7" s="77">
        <f>Input!AN12</f>
        <v/>
      </c>
      <c r="AO7" s="77">
        <f>Input!AO12</f>
        <v/>
      </c>
      <c r="AP7" s="77">
        <f>Input!AP12</f>
        <v/>
      </c>
      <c r="AQ7" s="77">
        <f>Input!AQ12</f>
        <v/>
      </c>
      <c r="AR7" s="77">
        <f>Input!AR12</f>
        <v/>
      </c>
      <c r="AS7" s="77">
        <f>Input!AS12</f>
        <v/>
      </c>
      <c r="AT7" s="77">
        <f>Input!AT12</f>
        <v/>
      </c>
      <c r="AU7" s="77">
        <f>Input!AU12</f>
        <v/>
      </c>
      <c r="AV7" s="77">
        <f>Input!AV12</f>
        <v/>
      </c>
      <c r="AW7" s="77">
        <f>Input!AW12</f>
        <v/>
      </c>
      <c r="AX7" s="77">
        <f>Input!AX12</f>
        <v/>
      </c>
      <c r="AY7" s="77">
        <f>Input!AY12</f>
        <v/>
      </c>
      <c r="AZ7" s="77">
        <f>Input!AZ12</f>
        <v/>
      </c>
      <c r="BA7" s="77">
        <f>Input!BA12</f>
        <v/>
      </c>
      <c r="BB7" s="77">
        <f>Input!BB12</f>
        <v/>
      </c>
      <c r="BC7" s="77">
        <f>Input!BC12</f>
        <v/>
      </c>
      <c r="BD7" s="77">
        <f>Input!BD12</f>
        <v/>
      </c>
      <c r="BE7" s="77">
        <f>Input!BE12</f>
        <v/>
      </c>
      <c r="BF7" s="77">
        <f>Input!BF12</f>
        <v/>
      </c>
      <c r="BG7" s="77">
        <f>Input!BG12</f>
        <v/>
      </c>
      <c r="BH7" s="77">
        <f>Input!BH12</f>
        <v/>
      </c>
      <c r="BI7" s="77">
        <f>Input!BI12</f>
        <v/>
      </c>
      <c r="BJ7" s="77">
        <f>Input!BJ12</f>
        <v/>
      </c>
      <c r="BK7" s="77">
        <f>Input!BK12</f>
        <v/>
      </c>
      <c r="BL7" s="77">
        <f>Input!BL12</f>
        <v/>
      </c>
    </row>
    <row r="8">
      <c r="A8" s="51" t="inlineStr">
        <is>
          <t xml:space="preserve">    Выручка Общая зона (билеты) (млн ₽)</t>
        </is>
      </c>
      <c r="B8" s="52" t="inlineStr">
        <is>
          <t>млн ₽</t>
        </is>
      </c>
      <c r="C8" s="53">
        <f>SUM(BN8:BR8)</f>
        <v/>
      </c>
      <c r="D8" s="45" t="inlineStr"/>
      <c r="E8" s="67">
        <f>E6*E7/1000000</f>
        <v/>
      </c>
      <c r="F8" s="67">
        <f>F6*F7/1000000</f>
        <v/>
      </c>
      <c r="G8" s="67">
        <f>G6*G7/1000000</f>
        <v/>
      </c>
      <c r="H8" s="67">
        <f>H6*H7/1000000</f>
        <v/>
      </c>
      <c r="I8" s="67">
        <f>I6*I7/1000000</f>
        <v/>
      </c>
      <c r="J8" s="67">
        <f>J6*J7/1000000</f>
        <v/>
      </c>
      <c r="K8" s="67">
        <f>K6*K7/1000000</f>
        <v/>
      </c>
      <c r="L8" s="67">
        <f>L6*L7/1000000</f>
        <v/>
      </c>
      <c r="M8" s="67">
        <f>M6*M7/1000000</f>
        <v/>
      </c>
      <c r="N8" s="67">
        <f>N6*N7/1000000</f>
        <v/>
      </c>
      <c r="O8" s="67">
        <f>O6*O7/1000000</f>
        <v/>
      </c>
      <c r="P8" s="67">
        <f>P6*P7/1000000</f>
        <v/>
      </c>
      <c r="Q8" s="67">
        <f>Q6*Q7/1000000</f>
        <v/>
      </c>
      <c r="R8" s="67">
        <f>R6*R7/1000000</f>
        <v/>
      </c>
      <c r="S8" s="67">
        <f>S6*S7/1000000</f>
        <v/>
      </c>
      <c r="T8" s="67">
        <f>T6*T7/1000000</f>
        <v/>
      </c>
      <c r="U8" s="67">
        <f>U6*U7/1000000</f>
        <v/>
      </c>
      <c r="V8" s="67">
        <f>V6*V7/1000000</f>
        <v/>
      </c>
      <c r="W8" s="67">
        <f>W6*W7/1000000</f>
        <v/>
      </c>
      <c r="X8" s="67">
        <f>X6*X7/1000000</f>
        <v/>
      </c>
      <c r="Y8" s="67">
        <f>Y6*Y7/1000000</f>
        <v/>
      </c>
      <c r="Z8" s="67">
        <f>Z6*Z7/1000000</f>
        <v/>
      </c>
      <c r="AA8" s="67">
        <f>AA6*AA7/1000000</f>
        <v/>
      </c>
      <c r="AB8" s="67">
        <f>AB6*AB7/1000000</f>
        <v/>
      </c>
      <c r="AC8" s="67">
        <f>AC6*AC7/1000000</f>
        <v/>
      </c>
      <c r="AD8" s="67">
        <f>AD6*AD7/1000000</f>
        <v/>
      </c>
      <c r="AE8" s="67">
        <f>AE6*AE7/1000000</f>
        <v/>
      </c>
      <c r="AF8" s="67">
        <f>AF6*AF7/1000000</f>
        <v/>
      </c>
      <c r="AG8" s="67">
        <f>AG6*AG7/1000000</f>
        <v/>
      </c>
      <c r="AH8" s="67">
        <f>AH6*AH7/1000000</f>
        <v/>
      </c>
      <c r="AI8" s="67">
        <f>AI6*AI7/1000000</f>
        <v/>
      </c>
      <c r="AJ8" s="67">
        <f>AJ6*AJ7/1000000</f>
        <v/>
      </c>
      <c r="AK8" s="67">
        <f>AK6*AK7/1000000</f>
        <v/>
      </c>
      <c r="AL8" s="67">
        <f>AL6*AL7/1000000</f>
        <v/>
      </c>
      <c r="AM8" s="67">
        <f>AM6*AM7/1000000</f>
        <v/>
      </c>
      <c r="AN8" s="67">
        <f>AN6*AN7/1000000</f>
        <v/>
      </c>
      <c r="AO8" s="67">
        <f>AO6*AO7/1000000</f>
        <v/>
      </c>
      <c r="AP8" s="67">
        <f>AP6*AP7/1000000</f>
        <v/>
      </c>
      <c r="AQ8" s="67">
        <f>AQ6*AQ7/1000000</f>
        <v/>
      </c>
      <c r="AR8" s="67">
        <f>AR6*AR7/1000000</f>
        <v/>
      </c>
      <c r="AS8" s="67">
        <f>AS6*AS7/1000000</f>
        <v/>
      </c>
      <c r="AT8" s="67">
        <f>AT6*AT7/1000000</f>
        <v/>
      </c>
      <c r="AU8" s="67">
        <f>AU6*AU7/1000000</f>
        <v/>
      </c>
      <c r="AV8" s="67">
        <f>AV6*AV7/1000000</f>
        <v/>
      </c>
      <c r="AW8" s="67">
        <f>AW6*AW7/1000000</f>
        <v/>
      </c>
      <c r="AX8" s="67">
        <f>AX6*AX7/1000000</f>
        <v/>
      </c>
      <c r="AY8" s="67">
        <f>AY6*AY7/1000000</f>
        <v/>
      </c>
      <c r="AZ8" s="67">
        <f>AZ6*AZ7/1000000</f>
        <v/>
      </c>
      <c r="BA8" s="67">
        <f>BA6*BA7/1000000</f>
        <v/>
      </c>
      <c r="BB8" s="67">
        <f>BB6*BB7/1000000</f>
        <v/>
      </c>
      <c r="BC8" s="67">
        <f>BC6*BC7/1000000</f>
        <v/>
      </c>
      <c r="BD8" s="67">
        <f>BD6*BD7/1000000</f>
        <v/>
      </c>
      <c r="BE8" s="67">
        <f>BE6*BE7/1000000</f>
        <v/>
      </c>
      <c r="BF8" s="67">
        <f>BF6*BF7/1000000</f>
        <v/>
      </c>
      <c r="BG8" s="67">
        <f>BG6*BG7/1000000</f>
        <v/>
      </c>
      <c r="BH8" s="67">
        <f>BH6*BH7/1000000</f>
        <v/>
      </c>
      <c r="BI8" s="67">
        <f>BI6*BI7/1000000</f>
        <v/>
      </c>
      <c r="BJ8" s="67">
        <f>BJ6*BJ7/1000000</f>
        <v/>
      </c>
      <c r="BK8" s="67">
        <f>BK6*BK7/1000000</f>
        <v/>
      </c>
      <c r="BL8" s="67">
        <f>BL6*BL7/1000000</f>
        <v/>
      </c>
      <c r="BN8" s="53">
        <f>SUM(E8:P8)</f>
        <v/>
      </c>
      <c r="BO8" s="53">
        <f>SUM(Q8:AB8)</f>
        <v/>
      </c>
      <c r="BP8" s="53">
        <f>SUM(AC8:AN8)</f>
        <v/>
      </c>
      <c r="BQ8" s="53">
        <f>SUM(AO8:AZ8)</f>
        <v/>
      </c>
      <c r="BR8" s="53">
        <f>SUM(BA8:BL8)</f>
        <v/>
      </c>
    </row>
    <row r="9"/>
    <row r="10" ht="22" customHeight="1">
      <c r="A10" s="62" t="inlineStr">
        <is>
          <t xml:space="preserve">  СЕГМЕНТ: ПРИВАТНЫЕ КАБИНЫ</t>
        </is>
      </c>
    </row>
    <row r="11">
      <c r="A11" s="42" t="inlineStr">
        <is>
          <t xml:space="preserve">    Объём (ед.)</t>
        </is>
      </c>
      <c r="B11" s="43" t="inlineStr">
        <is>
          <t>ед.</t>
        </is>
      </c>
      <c r="C11" s="53">
        <f>SUM(BN11:BR11)</f>
        <v/>
      </c>
      <c r="D11" s="45" t="inlineStr"/>
      <c r="E11" s="77">
        <f>Input!E18</f>
        <v/>
      </c>
      <c r="F11" s="77">
        <f>Input!F18</f>
        <v/>
      </c>
      <c r="G11" s="77">
        <f>Input!G18</f>
        <v/>
      </c>
      <c r="H11" s="77">
        <f>Input!H18</f>
        <v/>
      </c>
      <c r="I11" s="77">
        <f>Input!I18</f>
        <v/>
      </c>
      <c r="J11" s="77">
        <f>Input!J18</f>
        <v/>
      </c>
      <c r="K11" s="77">
        <f>Input!K18</f>
        <v/>
      </c>
      <c r="L11" s="77">
        <f>Input!L18</f>
        <v/>
      </c>
      <c r="M11" s="77">
        <f>Input!M18</f>
        <v/>
      </c>
      <c r="N11" s="77">
        <f>Input!N18</f>
        <v/>
      </c>
      <c r="O11" s="77">
        <f>Input!O18</f>
        <v/>
      </c>
      <c r="P11" s="77">
        <f>Input!P18</f>
        <v/>
      </c>
      <c r="Q11" s="77">
        <f>Input!Q18</f>
        <v/>
      </c>
      <c r="R11" s="77">
        <f>Input!R18</f>
        <v/>
      </c>
      <c r="S11" s="77">
        <f>Input!S18</f>
        <v/>
      </c>
      <c r="T11" s="77">
        <f>Input!T18</f>
        <v/>
      </c>
      <c r="U11" s="77">
        <f>Input!U18</f>
        <v/>
      </c>
      <c r="V11" s="77">
        <f>Input!V18</f>
        <v/>
      </c>
      <c r="W11" s="77">
        <f>Input!W18</f>
        <v/>
      </c>
      <c r="X11" s="77">
        <f>Input!X18</f>
        <v/>
      </c>
      <c r="Y11" s="77">
        <f>Input!Y18</f>
        <v/>
      </c>
      <c r="Z11" s="77">
        <f>Input!Z18</f>
        <v/>
      </c>
      <c r="AA11" s="77">
        <f>Input!AA18</f>
        <v/>
      </c>
      <c r="AB11" s="77">
        <f>Input!AB18</f>
        <v/>
      </c>
      <c r="AC11" s="77">
        <f>Input!AC18</f>
        <v/>
      </c>
      <c r="AD11" s="77">
        <f>Input!AD18</f>
        <v/>
      </c>
      <c r="AE11" s="77">
        <f>Input!AE18</f>
        <v/>
      </c>
      <c r="AF11" s="77">
        <f>Input!AF18</f>
        <v/>
      </c>
      <c r="AG11" s="77">
        <f>Input!AG18</f>
        <v/>
      </c>
      <c r="AH11" s="77">
        <f>Input!AH18</f>
        <v/>
      </c>
      <c r="AI11" s="77">
        <f>Input!AI18</f>
        <v/>
      </c>
      <c r="AJ11" s="77">
        <f>Input!AJ18</f>
        <v/>
      </c>
      <c r="AK11" s="77">
        <f>Input!AK18</f>
        <v/>
      </c>
      <c r="AL11" s="77">
        <f>Input!AL18</f>
        <v/>
      </c>
      <c r="AM11" s="77">
        <f>Input!AM18</f>
        <v/>
      </c>
      <c r="AN11" s="77">
        <f>Input!AN18</f>
        <v/>
      </c>
      <c r="AO11" s="77">
        <f>Input!AO18</f>
        <v/>
      </c>
      <c r="AP11" s="77">
        <f>Input!AP18</f>
        <v/>
      </c>
      <c r="AQ11" s="77">
        <f>Input!AQ18</f>
        <v/>
      </c>
      <c r="AR11" s="77">
        <f>Input!AR18</f>
        <v/>
      </c>
      <c r="AS11" s="77">
        <f>Input!AS18</f>
        <v/>
      </c>
      <c r="AT11" s="77">
        <f>Input!AT18</f>
        <v/>
      </c>
      <c r="AU11" s="77">
        <f>Input!AU18</f>
        <v/>
      </c>
      <c r="AV11" s="77">
        <f>Input!AV18</f>
        <v/>
      </c>
      <c r="AW11" s="77">
        <f>Input!AW18</f>
        <v/>
      </c>
      <c r="AX11" s="77">
        <f>Input!AX18</f>
        <v/>
      </c>
      <c r="AY11" s="77">
        <f>Input!AY18</f>
        <v/>
      </c>
      <c r="AZ11" s="77">
        <f>Input!AZ18</f>
        <v/>
      </c>
      <c r="BA11" s="77">
        <f>Input!BA18</f>
        <v/>
      </c>
      <c r="BB11" s="77">
        <f>Input!BB18</f>
        <v/>
      </c>
      <c r="BC11" s="77">
        <f>Input!BC18</f>
        <v/>
      </c>
      <c r="BD11" s="77">
        <f>Input!BD18</f>
        <v/>
      </c>
      <c r="BE11" s="77">
        <f>Input!BE18</f>
        <v/>
      </c>
      <c r="BF11" s="77">
        <f>Input!BF18</f>
        <v/>
      </c>
      <c r="BG11" s="77">
        <f>Input!BG18</f>
        <v/>
      </c>
      <c r="BH11" s="77">
        <f>Input!BH18</f>
        <v/>
      </c>
      <c r="BI11" s="77">
        <f>Input!BI18</f>
        <v/>
      </c>
      <c r="BJ11" s="77">
        <f>Input!BJ18</f>
        <v/>
      </c>
      <c r="BK11" s="77">
        <f>Input!BK18</f>
        <v/>
      </c>
      <c r="BL11" s="77">
        <f>Input!BL18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Цена за единицу (руб) (мес)</t>
        </is>
      </c>
      <c r="B12" s="43" t="inlineStr">
        <is>
          <t>руб/ед</t>
        </is>
      </c>
      <c r="C12" s="48" t="inlineStr">
        <is>
          <t>—</t>
        </is>
      </c>
      <c r="D12" s="45" t="inlineStr"/>
      <c r="E12" s="77">
        <f>Input!E21</f>
        <v/>
      </c>
      <c r="F12" s="77">
        <f>Input!F21</f>
        <v/>
      </c>
      <c r="G12" s="77">
        <f>Input!G21</f>
        <v/>
      </c>
      <c r="H12" s="77">
        <f>Input!H21</f>
        <v/>
      </c>
      <c r="I12" s="77">
        <f>Input!I21</f>
        <v/>
      </c>
      <c r="J12" s="77">
        <f>Input!J21</f>
        <v/>
      </c>
      <c r="K12" s="77">
        <f>Input!K21</f>
        <v/>
      </c>
      <c r="L12" s="77">
        <f>Input!L21</f>
        <v/>
      </c>
      <c r="M12" s="77">
        <f>Input!M21</f>
        <v/>
      </c>
      <c r="N12" s="77">
        <f>Input!N21</f>
        <v/>
      </c>
      <c r="O12" s="77">
        <f>Input!O21</f>
        <v/>
      </c>
      <c r="P12" s="77">
        <f>Input!P21</f>
        <v/>
      </c>
      <c r="Q12" s="77">
        <f>Input!Q21</f>
        <v/>
      </c>
      <c r="R12" s="77">
        <f>Input!R21</f>
        <v/>
      </c>
      <c r="S12" s="77">
        <f>Input!S21</f>
        <v/>
      </c>
      <c r="T12" s="77">
        <f>Input!T21</f>
        <v/>
      </c>
      <c r="U12" s="77">
        <f>Input!U21</f>
        <v/>
      </c>
      <c r="V12" s="77">
        <f>Input!V21</f>
        <v/>
      </c>
      <c r="W12" s="77">
        <f>Input!W21</f>
        <v/>
      </c>
      <c r="X12" s="77">
        <f>Input!X21</f>
        <v/>
      </c>
      <c r="Y12" s="77">
        <f>Input!Y21</f>
        <v/>
      </c>
      <c r="Z12" s="77">
        <f>Input!Z21</f>
        <v/>
      </c>
      <c r="AA12" s="77">
        <f>Input!AA21</f>
        <v/>
      </c>
      <c r="AB12" s="77">
        <f>Input!AB21</f>
        <v/>
      </c>
      <c r="AC12" s="77">
        <f>Input!AC21</f>
        <v/>
      </c>
      <c r="AD12" s="77">
        <f>Input!AD21</f>
        <v/>
      </c>
      <c r="AE12" s="77">
        <f>Input!AE21</f>
        <v/>
      </c>
      <c r="AF12" s="77">
        <f>Input!AF21</f>
        <v/>
      </c>
      <c r="AG12" s="77">
        <f>Input!AG21</f>
        <v/>
      </c>
      <c r="AH12" s="77">
        <f>Input!AH21</f>
        <v/>
      </c>
      <c r="AI12" s="77">
        <f>Input!AI21</f>
        <v/>
      </c>
      <c r="AJ12" s="77">
        <f>Input!AJ21</f>
        <v/>
      </c>
      <c r="AK12" s="77">
        <f>Input!AK21</f>
        <v/>
      </c>
      <c r="AL12" s="77">
        <f>Input!AL21</f>
        <v/>
      </c>
      <c r="AM12" s="77">
        <f>Input!AM21</f>
        <v/>
      </c>
      <c r="AN12" s="77">
        <f>Input!AN21</f>
        <v/>
      </c>
      <c r="AO12" s="77">
        <f>Input!AO21</f>
        <v/>
      </c>
      <c r="AP12" s="77">
        <f>Input!AP21</f>
        <v/>
      </c>
      <c r="AQ12" s="77">
        <f>Input!AQ21</f>
        <v/>
      </c>
      <c r="AR12" s="77">
        <f>Input!AR21</f>
        <v/>
      </c>
      <c r="AS12" s="77">
        <f>Input!AS21</f>
        <v/>
      </c>
      <c r="AT12" s="77">
        <f>Input!AT21</f>
        <v/>
      </c>
      <c r="AU12" s="77">
        <f>Input!AU21</f>
        <v/>
      </c>
      <c r="AV12" s="77">
        <f>Input!AV21</f>
        <v/>
      </c>
      <c r="AW12" s="77">
        <f>Input!AW21</f>
        <v/>
      </c>
      <c r="AX12" s="77">
        <f>Input!AX21</f>
        <v/>
      </c>
      <c r="AY12" s="77">
        <f>Input!AY21</f>
        <v/>
      </c>
      <c r="AZ12" s="77">
        <f>Input!AZ21</f>
        <v/>
      </c>
      <c r="BA12" s="77">
        <f>Input!BA21</f>
        <v/>
      </c>
      <c r="BB12" s="77">
        <f>Input!BB21</f>
        <v/>
      </c>
      <c r="BC12" s="77">
        <f>Input!BC21</f>
        <v/>
      </c>
      <c r="BD12" s="77">
        <f>Input!BD21</f>
        <v/>
      </c>
      <c r="BE12" s="77">
        <f>Input!BE21</f>
        <v/>
      </c>
      <c r="BF12" s="77">
        <f>Input!BF21</f>
        <v/>
      </c>
      <c r="BG12" s="77">
        <f>Input!BG21</f>
        <v/>
      </c>
      <c r="BH12" s="77">
        <f>Input!BH21</f>
        <v/>
      </c>
      <c r="BI12" s="77">
        <f>Input!BI21</f>
        <v/>
      </c>
      <c r="BJ12" s="77">
        <f>Input!BJ21</f>
        <v/>
      </c>
      <c r="BK12" s="77">
        <f>Input!BK21</f>
        <v/>
      </c>
      <c r="BL12" s="77">
        <f>Input!BL21</f>
        <v/>
      </c>
    </row>
    <row r="13">
      <c r="A13" s="51" t="inlineStr">
        <is>
          <t xml:space="preserve">    Выручка Приватные кабины (млн ₽)</t>
        </is>
      </c>
      <c r="B13" s="52" t="inlineStr">
        <is>
          <t>млн ₽</t>
        </is>
      </c>
      <c r="C13" s="53">
        <f>SUM(BN13:BR13)</f>
        <v/>
      </c>
      <c r="D13" s="45" t="inlineStr"/>
      <c r="E13" s="67">
        <f>E11*E12/1000000</f>
        <v/>
      </c>
      <c r="F13" s="67">
        <f>F11*F12/1000000</f>
        <v/>
      </c>
      <c r="G13" s="67">
        <f>G11*G12/1000000</f>
        <v/>
      </c>
      <c r="H13" s="67">
        <f>H11*H12/1000000</f>
        <v/>
      </c>
      <c r="I13" s="67">
        <f>I11*I12/1000000</f>
        <v/>
      </c>
      <c r="J13" s="67">
        <f>J11*J12/1000000</f>
        <v/>
      </c>
      <c r="K13" s="67">
        <f>K11*K12/1000000</f>
        <v/>
      </c>
      <c r="L13" s="67">
        <f>L11*L12/1000000</f>
        <v/>
      </c>
      <c r="M13" s="67">
        <f>M11*M12/1000000</f>
        <v/>
      </c>
      <c r="N13" s="67">
        <f>N11*N12/1000000</f>
        <v/>
      </c>
      <c r="O13" s="67">
        <f>O11*O12/1000000</f>
        <v/>
      </c>
      <c r="P13" s="67">
        <f>P11*P12/1000000</f>
        <v/>
      </c>
      <c r="Q13" s="67">
        <f>Q11*Q12/1000000</f>
        <v/>
      </c>
      <c r="R13" s="67">
        <f>R11*R12/1000000</f>
        <v/>
      </c>
      <c r="S13" s="67">
        <f>S11*S12/1000000</f>
        <v/>
      </c>
      <c r="T13" s="67">
        <f>T11*T12/1000000</f>
        <v/>
      </c>
      <c r="U13" s="67">
        <f>U11*U12/1000000</f>
        <v/>
      </c>
      <c r="V13" s="67">
        <f>V11*V12/1000000</f>
        <v/>
      </c>
      <c r="W13" s="67">
        <f>W11*W12/1000000</f>
        <v/>
      </c>
      <c r="X13" s="67">
        <f>X11*X12/1000000</f>
        <v/>
      </c>
      <c r="Y13" s="67">
        <f>Y11*Y12/1000000</f>
        <v/>
      </c>
      <c r="Z13" s="67">
        <f>Z11*Z12/1000000</f>
        <v/>
      </c>
      <c r="AA13" s="67">
        <f>AA11*AA12/1000000</f>
        <v/>
      </c>
      <c r="AB13" s="67">
        <f>AB11*AB12/1000000</f>
        <v/>
      </c>
      <c r="AC13" s="67">
        <f>AC11*AC12/1000000</f>
        <v/>
      </c>
      <c r="AD13" s="67">
        <f>AD11*AD12/1000000</f>
        <v/>
      </c>
      <c r="AE13" s="67">
        <f>AE11*AE12/1000000</f>
        <v/>
      </c>
      <c r="AF13" s="67">
        <f>AF11*AF12/1000000</f>
        <v/>
      </c>
      <c r="AG13" s="67">
        <f>AG11*AG12/1000000</f>
        <v/>
      </c>
      <c r="AH13" s="67">
        <f>AH11*AH12/1000000</f>
        <v/>
      </c>
      <c r="AI13" s="67">
        <f>AI11*AI12/1000000</f>
        <v/>
      </c>
      <c r="AJ13" s="67">
        <f>AJ11*AJ12/1000000</f>
        <v/>
      </c>
      <c r="AK13" s="67">
        <f>AK11*AK12/1000000</f>
        <v/>
      </c>
      <c r="AL13" s="67">
        <f>AL11*AL12/1000000</f>
        <v/>
      </c>
      <c r="AM13" s="67">
        <f>AM11*AM12/1000000</f>
        <v/>
      </c>
      <c r="AN13" s="67">
        <f>AN11*AN12/1000000</f>
        <v/>
      </c>
      <c r="AO13" s="67">
        <f>AO11*AO12/1000000</f>
        <v/>
      </c>
      <c r="AP13" s="67">
        <f>AP11*AP12/1000000</f>
        <v/>
      </c>
      <c r="AQ13" s="67">
        <f>AQ11*AQ12/1000000</f>
        <v/>
      </c>
      <c r="AR13" s="67">
        <f>AR11*AR12/1000000</f>
        <v/>
      </c>
      <c r="AS13" s="67">
        <f>AS11*AS12/1000000</f>
        <v/>
      </c>
      <c r="AT13" s="67">
        <f>AT11*AT12/1000000</f>
        <v/>
      </c>
      <c r="AU13" s="67">
        <f>AU11*AU12/1000000</f>
        <v/>
      </c>
      <c r="AV13" s="67">
        <f>AV11*AV12/1000000</f>
        <v/>
      </c>
      <c r="AW13" s="67">
        <f>AW11*AW12/1000000</f>
        <v/>
      </c>
      <c r="AX13" s="67">
        <f>AX11*AX12/1000000</f>
        <v/>
      </c>
      <c r="AY13" s="67">
        <f>AY11*AY12/1000000</f>
        <v/>
      </c>
      <c r="AZ13" s="67">
        <f>AZ11*AZ12/1000000</f>
        <v/>
      </c>
      <c r="BA13" s="67">
        <f>BA11*BA12/1000000</f>
        <v/>
      </c>
      <c r="BB13" s="67">
        <f>BB11*BB12/1000000</f>
        <v/>
      </c>
      <c r="BC13" s="67">
        <f>BC11*BC12/1000000</f>
        <v/>
      </c>
      <c r="BD13" s="67">
        <f>BD11*BD12/1000000</f>
        <v/>
      </c>
      <c r="BE13" s="67">
        <f>BE11*BE12/1000000</f>
        <v/>
      </c>
      <c r="BF13" s="67">
        <f>BF11*BF12/1000000</f>
        <v/>
      </c>
      <c r="BG13" s="67">
        <f>BG11*BG12/1000000</f>
        <v/>
      </c>
      <c r="BH13" s="67">
        <f>BH11*BH12/1000000</f>
        <v/>
      </c>
      <c r="BI13" s="67">
        <f>BI11*BI12/1000000</f>
        <v/>
      </c>
      <c r="BJ13" s="67">
        <f>BJ11*BJ12/1000000</f>
        <v/>
      </c>
      <c r="BK13" s="67">
        <f>BK11*BK12/1000000</f>
        <v/>
      </c>
      <c r="BL13" s="67">
        <f>BL11*BL12/1000000</f>
        <v/>
      </c>
      <c r="BN13" s="53">
        <f>SUM(E13:P13)</f>
        <v/>
      </c>
      <c r="BO13" s="53">
        <f>SUM(Q13:AB13)</f>
        <v/>
      </c>
      <c r="BP13" s="53">
        <f>SUM(AC13:AN13)</f>
        <v/>
      </c>
      <c r="BQ13" s="53">
        <f>SUM(AO13:AZ13)</f>
        <v/>
      </c>
      <c r="BR13" s="53">
        <f>SUM(BA13:BL13)</f>
        <v/>
      </c>
    </row>
    <row r="14"/>
    <row r="15" ht="22" customHeight="1">
      <c r="A15" s="62" t="inlineStr">
        <is>
          <t xml:space="preserve">  СЕГМЕНТ: SPA И ПАРЕНИЕ</t>
        </is>
      </c>
    </row>
    <row r="16">
      <c r="A16" s="42" t="inlineStr">
        <is>
          <t xml:space="preserve">    Объём (ед.)</t>
        </is>
      </c>
      <c r="B16" s="43" t="inlineStr">
        <is>
          <t>ед.</t>
        </is>
      </c>
      <c r="C16" s="53">
        <f>SUM(BN16:BR16)</f>
        <v/>
      </c>
      <c r="D16" s="45" t="inlineStr"/>
      <c r="E16" s="77">
        <f>Input!E27</f>
        <v/>
      </c>
      <c r="F16" s="77">
        <f>Input!F27</f>
        <v/>
      </c>
      <c r="G16" s="77">
        <f>Input!G27</f>
        <v/>
      </c>
      <c r="H16" s="77">
        <f>Input!H27</f>
        <v/>
      </c>
      <c r="I16" s="77">
        <f>Input!I27</f>
        <v/>
      </c>
      <c r="J16" s="77">
        <f>Input!J27</f>
        <v/>
      </c>
      <c r="K16" s="77">
        <f>Input!K27</f>
        <v/>
      </c>
      <c r="L16" s="77">
        <f>Input!L27</f>
        <v/>
      </c>
      <c r="M16" s="77">
        <f>Input!M27</f>
        <v/>
      </c>
      <c r="N16" s="77">
        <f>Input!N27</f>
        <v/>
      </c>
      <c r="O16" s="77">
        <f>Input!O27</f>
        <v/>
      </c>
      <c r="P16" s="77">
        <f>Input!P27</f>
        <v/>
      </c>
      <c r="Q16" s="77">
        <f>Input!Q27</f>
        <v/>
      </c>
      <c r="R16" s="77">
        <f>Input!R27</f>
        <v/>
      </c>
      <c r="S16" s="77">
        <f>Input!S27</f>
        <v/>
      </c>
      <c r="T16" s="77">
        <f>Input!T27</f>
        <v/>
      </c>
      <c r="U16" s="77">
        <f>Input!U27</f>
        <v/>
      </c>
      <c r="V16" s="77">
        <f>Input!V27</f>
        <v/>
      </c>
      <c r="W16" s="77">
        <f>Input!W27</f>
        <v/>
      </c>
      <c r="X16" s="77">
        <f>Input!X27</f>
        <v/>
      </c>
      <c r="Y16" s="77">
        <f>Input!Y27</f>
        <v/>
      </c>
      <c r="Z16" s="77">
        <f>Input!Z27</f>
        <v/>
      </c>
      <c r="AA16" s="77">
        <f>Input!AA27</f>
        <v/>
      </c>
      <c r="AB16" s="77">
        <f>Input!AB27</f>
        <v/>
      </c>
      <c r="AC16" s="77">
        <f>Input!AC27</f>
        <v/>
      </c>
      <c r="AD16" s="77">
        <f>Input!AD27</f>
        <v/>
      </c>
      <c r="AE16" s="77">
        <f>Input!AE27</f>
        <v/>
      </c>
      <c r="AF16" s="77">
        <f>Input!AF27</f>
        <v/>
      </c>
      <c r="AG16" s="77">
        <f>Input!AG27</f>
        <v/>
      </c>
      <c r="AH16" s="77">
        <f>Input!AH27</f>
        <v/>
      </c>
      <c r="AI16" s="77">
        <f>Input!AI27</f>
        <v/>
      </c>
      <c r="AJ16" s="77">
        <f>Input!AJ27</f>
        <v/>
      </c>
      <c r="AK16" s="77">
        <f>Input!AK27</f>
        <v/>
      </c>
      <c r="AL16" s="77">
        <f>Input!AL27</f>
        <v/>
      </c>
      <c r="AM16" s="77">
        <f>Input!AM27</f>
        <v/>
      </c>
      <c r="AN16" s="77">
        <f>Input!AN27</f>
        <v/>
      </c>
      <c r="AO16" s="77">
        <f>Input!AO27</f>
        <v/>
      </c>
      <c r="AP16" s="77">
        <f>Input!AP27</f>
        <v/>
      </c>
      <c r="AQ16" s="77">
        <f>Input!AQ27</f>
        <v/>
      </c>
      <c r="AR16" s="77">
        <f>Input!AR27</f>
        <v/>
      </c>
      <c r="AS16" s="77">
        <f>Input!AS27</f>
        <v/>
      </c>
      <c r="AT16" s="77">
        <f>Input!AT27</f>
        <v/>
      </c>
      <c r="AU16" s="77">
        <f>Input!AU27</f>
        <v/>
      </c>
      <c r="AV16" s="77">
        <f>Input!AV27</f>
        <v/>
      </c>
      <c r="AW16" s="77">
        <f>Input!AW27</f>
        <v/>
      </c>
      <c r="AX16" s="77">
        <f>Input!AX27</f>
        <v/>
      </c>
      <c r="AY16" s="77">
        <f>Input!AY27</f>
        <v/>
      </c>
      <c r="AZ16" s="77">
        <f>Input!AZ27</f>
        <v/>
      </c>
      <c r="BA16" s="77">
        <f>Input!BA27</f>
        <v/>
      </c>
      <c r="BB16" s="77">
        <f>Input!BB27</f>
        <v/>
      </c>
      <c r="BC16" s="77">
        <f>Input!BC27</f>
        <v/>
      </c>
      <c r="BD16" s="77">
        <f>Input!BD27</f>
        <v/>
      </c>
      <c r="BE16" s="77">
        <f>Input!BE27</f>
        <v/>
      </c>
      <c r="BF16" s="77">
        <f>Input!BF27</f>
        <v/>
      </c>
      <c r="BG16" s="77">
        <f>Input!BG27</f>
        <v/>
      </c>
      <c r="BH16" s="77">
        <f>Input!BH27</f>
        <v/>
      </c>
      <c r="BI16" s="77">
        <f>Input!BI27</f>
        <v/>
      </c>
      <c r="BJ16" s="77">
        <f>Input!BJ27</f>
        <v/>
      </c>
      <c r="BK16" s="77">
        <f>Input!BK27</f>
        <v/>
      </c>
      <c r="BL16" s="77">
        <f>Input!BL27</f>
        <v/>
      </c>
      <c r="BN16" s="53">
        <f>SUM(E16:P16)</f>
        <v/>
      </c>
      <c r="BO16" s="53">
        <f>SUM(Q16:AB16)</f>
        <v/>
      </c>
      <c r="BP16" s="53">
        <f>SUM(AC16:AN16)</f>
        <v/>
      </c>
      <c r="BQ16" s="53">
        <f>SUM(AO16:AZ16)</f>
        <v/>
      </c>
      <c r="BR16" s="53">
        <f>SUM(BA16:BL16)</f>
        <v/>
      </c>
    </row>
    <row r="17">
      <c r="A17" s="42" t="inlineStr">
        <is>
          <t xml:space="preserve">    Цена за единицу (руб) (мес)</t>
        </is>
      </c>
      <c r="B17" s="43" t="inlineStr">
        <is>
          <t>руб/ед</t>
        </is>
      </c>
      <c r="C17" s="48" t="inlineStr">
        <is>
          <t>—</t>
        </is>
      </c>
      <c r="D17" s="45" t="inlineStr"/>
      <c r="E17" s="77">
        <f>Input!E30</f>
        <v/>
      </c>
      <c r="F17" s="77">
        <f>Input!F30</f>
        <v/>
      </c>
      <c r="G17" s="77">
        <f>Input!G30</f>
        <v/>
      </c>
      <c r="H17" s="77">
        <f>Input!H30</f>
        <v/>
      </c>
      <c r="I17" s="77">
        <f>Input!I30</f>
        <v/>
      </c>
      <c r="J17" s="77">
        <f>Input!J30</f>
        <v/>
      </c>
      <c r="K17" s="77">
        <f>Input!K30</f>
        <v/>
      </c>
      <c r="L17" s="77">
        <f>Input!L30</f>
        <v/>
      </c>
      <c r="M17" s="77">
        <f>Input!M30</f>
        <v/>
      </c>
      <c r="N17" s="77">
        <f>Input!N30</f>
        <v/>
      </c>
      <c r="O17" s="77">
        <f>Input!O30</f>
        <v/>
      </c>
      <c r="P17" s="77">
        <f>Input!P30</f>
        <v/>
      </c>
      <c r="Q17" s="77">
        <f>Input!Q30</f>
        <v/>
      </c>
      <c r="R17" s="77">
        <f>Input!R30</f>
        <v/>
      </c>
      <c r="S17" s="77">
        <f>Input!S30</f>
        <v/>
      </c>
      <c r="T17" s="77">
        <f>Input!T30</f>
        <v/>
      </c>
      <c r="U17" s="77">
        <f>Input!U30</f>
        <v/>
      </c>
      <c r="V17" s="77">
        <f>Input!V30</f>
        <v/>
      </c>
      <c r="W17" s="77">
        <f>Input!W30</f>
        <v/>
      </c>
      <c r="X17" s="77">
        <f>Input!X30</f>
        <v/>
      </c>
      <c r="Y17" s="77">
        <f>Input!Y30</f>
        <v/>
      </c>
      <c r="Z17" s="77">
        <f>Input!Z30</f>
        <v/>
      </c>
      <c r="AA17" s="77">
        <f>Input!AA30</f>
        <v/>
      </c>
      <c r="AB17" s="77">
        <f>Input!AB30</f>
        <v/>
      </c>
      <c r="AC17" s="77">
        <f>Input!AC30</f>
        <v/>
      </c>
      <c r="AD17" s="77">
        <f>Input!AD30</f>
        <v/>
      </c>
      <c r="AE17" s="77">
        <f>Input!AE30</f>
        <v/>
      </c>
      <c r="AF17" s="77">
        <f>Input!AF30</f>
        <v/>
      </c>
      <c r="AG17" s="77">
        <f>Input!AG30</f>
        <v/>
      </c>
      <c r="AH17" s="77">
        <f>Input!AH30</f>
        <v/>
      </c>
      <c r="AI17" s="77">
        <f>Input!AI30</f>
        <v/>
      </c>
      <c r="AJ17" s="77">
        <f>Input!AJ30</f>
        <v/>
      </c>
      <c r="AK17" s="77">
        <f>Input!AK30</f>
        <v/>
      </c>
      <c r="AL17" s="77">
        <f>Input!AL30</f>
        <v/>
      </c>
      <c r="AM17" s="77">
        <f>Input!AM30</f>
        <v/>
      </c>
      <c r="AN17" s="77">
        <f>Input!AN30</f>
        <v/>
      </c>
      <c r="AO17" s="77">
        <f>Input!AO30</f>
        <v/>
      </c>
      <c r="AP17" s="77">
        <f>Input!AP30</f>
        <v/>
      </c>
      <c r="AQ17" s="77">
        <f>Input!AQ30</f>
        <v/>
      </c>
      <c r="AR17" s="77">
        <f>Input!AR30</f>
        <v/>
      </c>
      <c r="AS17" s="77">
        <f>Input!AS30</f>
        <v/>
      </c>
      <c r="AT17" s="77">
        <f>Input!AT30</f>
        <v/>
      </c>
      <c r="AU17" s="77">
        <f>Input!AU30</f>
        <v/>
      </c>
      <c r="AV17" s="77">
        <f>Input!AV30</f>
        <v/>
      </c>
      <c r="AW17" s="77">
        <f>Input!AW30</f>
        <v/>
      </c>
      <c r="AX17" s="77">
        <f>Input!AX30</f>
        <v/>
      </c>
      <c r="AY17" s="77">
        <f>Input!AY30</f>
        <v/>
      </c>
      <c r="AZ17" s="77">
        <f>Input!AZ30</f>
        <v/>
      </c>
      <c r="BA17" s="77">
        <f>Input!BA30</f>
        <v/>
      </c>
      <c r="BB17" s="77">
        <f>Input!BB30</f>
        <v/>
      </c>
      <c r="BC17" s="77">
        <f>Input!BC30</f>
        <v/>
      </c>
      <c r="BD17" s="77">
        <f>Input!BD30</f>
        <v/>
      </c>
      <c r="BE17" s="77">
        <f>Input!BE30</f>
        <v/>
      </c>
      <c r="BF17" s="77">
        <f>Input!BF30</f>
        <v/>
      </c>
      <c r="BG17" s="77">
        <f>Input!BG30</f>
        <v/>
      </c>
      <c r="BH17" s="77">
        <f>Input!BH30</f>
        <v/>
      </c>
      <c r="BI17" s="77">
        <f>Input!BI30</f>
        <v/>
      </c>
      <c r="BJ17" s="77">
        <f>Input!BJ30</f>
        <v/>
      </c>
      <c r="BK17" s="77">
        <f>Input!BK30</f>
        <v/>
      </c>
      <c r="BL17" s="77">
        <f>Input!BL30</f>
        <v/>
      </c>
    </row>
    <row r="18">
      <c r="A18" s="51" t="inlineStr">
        <is>
          <t xml:space="preserve">    Выручка SPA и парение (млн ₽)</t>
        </is>
      </c>
      <c r="B18" s="52" t="inlineStr">
        <is>
          <t>млн ₽</t>
        </is>
      </c>
      <c r="C18" s="53">
        <f>SUM(BN18:BR18)</f>
        <v/>
      </c>
      <c r="D18" s="45" t="inlineStr"/>
      <c r="E18" s="67">
        <f>E16*E17/1000000</f>
        <v/>
      </c>
      <c r="F18" s="67">
        <f>F16*F17/1000000</f>
        <v/>
      </c>
      <c r="G18" s="67">
        <f>G16*G17/1000000</f>
        <v/>
      </c>
      <c r="H18" s="67">
        <f>H16*H17/1000000</f>
        <v/>
      </c>
      <c r="I18" s="67">
        <f>I16*I17/1000000</f>
        <v/>
      </c>
      <c r="J18" s="67">
        <f>J16*J17/1000000</f>
        <v/>
      </c>
      <c r="K18" s="67">
        <f>K16*K17/1000000</f>
        <v/>
      </c>
      <c r="L18" s="67">
        <f>L16*L17/1000000</f>
        <v/>
      </c>
      <c r="M18" s="67">
        <f>M16*M17/1000000</f>
        <v/>
      </c>
      <c r="N18" s="67">
        <f>N16*N17/1000000</f>
        <v/>
      </c>
      <c r="O18" s="67">
        <f>O16*O17/1000000</f>
        <v/>
      </c>
      <c r="P18" s="67">
        <f>P16*P17/1000000</f>
        <v/>
      </c>
      <c r="Q18" s="67">
        <f>Q16*Q17/1000000</f>
        <v/>
      </c>
      <c r="R18" s="67">
        <f>R16*R17/1000000</f>
        <v/>
      </c>
      <c r="S18" s="67">
        <f>S16*S17/1000000</f>
        <v/>
      </c>
      <c r="T18" s="67">
        <f>T16*T17/1000000</f>
        <v/>
      </c>
      <c r="U18" s="67">
        <f>U16*U17/1000000</f>
        <v/>
      </c>
      <c r="V18" s="67">
        <f>V16*V17/1000000</f>
        <v/>
      </c>
      <c r="W18" s="67">
        <f>W16*W17/1000000</f>
        <v/>
      </c>
      <c r="X18" s="67">
        <f>X16*X17/1000000</f>
        <v/>
      </c>
      <c r="Y18" s="67">
        <f>Y16*Y17/1000000</f>
        <v/>
      </c>
      <c r="Z18" s="67">
        <f>Z16*Z17/1000000</f>
        <v/>
      </c>
      <c r="AA18" s="67">
        <f>AA16*AA17/1000000</f>
        <v/>
      </c>
      <c r="AB18" s="67">
        <f>AB16*AB17/1000000</f>
        <v/>
      </c>
      <c r="AC18" s="67">
        <f>AC16*AC17/1000000</f>
        <v/>
      </c>
      <c r="AD18" s="67">
        <f>AD16*AD17/1000000</f>
        <v/>
      </c>
      <c r="AE18" s="67">
        <f>AE16*AE17/1000000</f>
        <v/>
      </c>
      <c r="AF18" s="67">
        <f>AF16*AF17/1000000</f>
        <v/>
      </c>
      <c r="AG18" s="67">
        <f>AG16*AG17/1000000</f>
        <v/>
      </c>
      <c r="AH18" s="67">
        <f>AH16*AH17/1000000</f>
        <v/>
      </c>
      <c r="AI18" s="67">
        <f>AI16*AI17/1000000</f>
        <v/>
      </c>
      <c r="AJ18" s="67">
        <f>AJ16*AJ17/1000000</f>
        <v/>
      </c>
      <c r="AK18" s="67">
        <f>AK16*AK17/1000000</f>
        <v/>
      </c>
      <c r="AL18" s="67">
        <f>AL16*AL17/1000000</f>
        <v/>
      </c>
      <c r="AM18" s="67">
        <f>AM16*AM17/1000000</f>
        <v/>
      </c>
      <c r="AN18" s="67">
        <f>AN16*AN17/1000000</f>
        <v/>
      </c>
      <c r="AO18" s="67">
        <f>AO16*AO17/1000000</f>
        <v/>
      </c>
      <c r="AP18" s="67">
        <f>AP16*AP17/1000000</f>
        <v/>
      </c>
      <c r="AQ18" s="67">
        <f>AQ16*AQ17/1000000</f>
        <v/>
      </c>
      <c r="AR18" s="67">
        <f>AR16*AR17/1000000</f>
        <v/>
      </c>
      <c r="AS18" s="67">
        <f>AS16*AS17/1000000</f>
        <v/>
      </c>
      <c r="AT18" s="67">
        <f>AT16*AT17/1000000</f>
        <v/>
      </c>
      <c r="AU18" s="67">
        <f>AU16*AU17/1000000</f>
        <v/>
      </c>
      <c r="AV18" s="67">
        <f>AV16*AV17/1000000</f>
        <v/>
      </c>
      <c r="AW18" s="67">
        <f>AW16*AW17/1000000</f>
        <v/>
      </c>
      <c r="AX18" s="67">
        <f>AX16*AX17/1000000</f>
        <v/>
      </c>
      <c r="AY18" s="67">
        <f>AY16*AY17/1000000</f>
        <v/>
      </c>
      <c r="AZ18" s="67">
        <f>AZ16*AZ17/1000000</f>
        <v/>
      </c>
      <c r="BA18" s="67">
        <f>BA16*BA17/1000000</f>
        <v/>
      </c>
      <c r="BB18" s="67">
        <f>BB16*BB17/1000000</f>
        <v/>
      </c>
      <c r="BC18" s="67">
        <f>BC16*BC17/1000000</f>
        <v/>
      </c>
      <c r="BD18" s="67">
        <f>BD16*BD17/1000000</f>
        <v/>
      </c>
      <c r="BE18" s="67">
        <f>BE16*BE17/1000000</f>
        <v/>
      </c>
      <c r="BF18" s="67">
        <f>BF16*BF17/1000000</f>
        <v/>
      </c>
      <c r="BG18" s="67">
        <f>BG16*BG17/1000000</f>
        <v/>
      </c>
      <c r="BH18" s="67">
        <f>BH16*BH17/1000000</f>
        <v/>
      </c>
      <c r="BI18" s="67">
        <f>BI16*BI17/1000000</f>
        <v/>
      </c>
      <c r="BJ18" s="67">
        <f>BJ16*BJ17/1000000</f>
        <v/>
      </c>
      <c r="BK18" s="67">
        <f>BK16*BK17/1000000</f>
        <v/>
      </c>
      <c r="BL18" s="67">
        <f>BL16*BL17/1000000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/>
    <row r="20" ht="22" customHeight="1">
      <c r="A20" s="62" t="inlineStr">
        <is>
          <t xml:space="preserve">  СЕГМЕНТ: БАР/КУХНЯ И RETAIL</t>
        </is>
      </c>
    </row>
    <row r="21">
      <c r="A21" s="42" t="inlineStr">
        <is>
          <t xml:space="preserve">    Объём (ед.)</t>
        </is>
      </c>
      <c r="B21" s="43" t="inlineStr">
        <is>
          <t>ед.</t>
        </is>
      </c>
      <c r="C21" s="53">
        <f>SUM(BN21:BR21)</f>
        <v/>
      </c>
      <c r="D21" s="45" t="inlineStr"/>
      <c r="E21" s="77">
        <f>Input!E36</f>
        <v/>
      </c>
      <c r="F21" s="77">
        <f>Input!F36</f>
        <v/>
      </c>
      <c r="G21" s="77">
        <f>Input!G36</f>
        <v/>
      </c>
      <c r="H21" s="77">
        <f>Input!H36</f>
        <v/>
      </c>
      <c r="I21" s="77">
        <f>Input!I36</f>
        <v/>
      </c>
      <c r="J21" s="77">
        <f>Input!J36</f>
        <v/>
      </c>
      <c r="K21" s="77">
        <f>Input!K36</f>
        <v/>
      </c>
      <c r="L21" s="77">
        <f>Input!L36</f>
        <v/>
      </c>
      <c r="M21" s="77">
        <f>Input!M36</f>
        <v/>
      </c>
      <c r="N21" s="77">
        <f>Input!N36</f>
        <v/>
      </c>
      <c r="O21" s="77">
        <f>Input!O36</f>
        <v/>
      </c>
      <c r="P21" s="77">
        <f>Input!P36</f>
        <v/>
      </c>
      <c r="Q21" s="77">
        <f>Input!Q36</f>
        <v/>
      </c>
      <c r="R21" s="77">
        <f>Input!R36</f>
        <v/>
      </c>
      <c r="S21" s="77">
        <f>Input!S36</f>
        <v/>
      </c>
      <c r="T21" s="77">
        <f>Input!T36</f>
        <v/>
      </c>
      <c r="U21" s="77">
        <f>Input!U36</f>
        <v/>
      </c>
      <c r="V21" s="77">
        <f>Input!V36</f>
        <v/>
      </c>
      <c r="W21" s="77">
        <f>Input!W36</f>
        <v/>
      </c>
      <c r="X21" s="77">
        <f>Input!X36</f>
        <v/>
      </c>
      <c r="Y21" s="77">
        <f>Input!Y36</f>
        <v/>
      </c>
      <c r="Z21" s="77">
        <f>Input!Z36</f>
        <v/>
      </c>
      <c r="AA21" s="77">
        <f>Input!AA36</f>
        <v/>
      </c>
      <c r="AB21" s="77">
        <f>Input!AB36</f>
        <v/>
      </c>
      <c r="AC21" s="77">
        <f>Input!AC36</f>
        <v/>
      </c>
      <c r="AD21" s="77">
        <f>Input!AD36</f>
        <v/>
      </c>
      <c r="AE21" s="77">
        <f>Input!AE36</f>
        <v/>
      </c>
      <c r="AF21" s="77">
        <f>Input!AF36</f>
        <v/>
      </c>
      <c r="AG21" s="77">
        <f>Input!AG36</f>
        <v/>
      </c>
      <c r="AH21" s="77">
        <f>Input!AH36</f>
        <v/>
      </c>
      <c r="AI21" s="77">
        <f>Input!AI36</f>
        <v/>
      </c>
      <c r="AJ21" s="77">
        <f>Input!AJ36</f>
        <v/>
      </c>
      <c r="AK21" s="77">
        <f>Input!AK36</f>
        <v/>
      </c>
      <c r="AL21" s="77">
        <f>Input!AL36</f>
        <v/>
      </c>
      <c r="AM21" s="77">
        <f>Input!AM36</f>
        <v/>
      </c>
      <c r="AN21" s="77">
        <f>Input!AN36</f>
        <v/>
      </c>
      <c r="AO21" s="77">
        <f>Input!AO36</f>
        <v/>
      </c>
      <c r="AP21" s="77">
        <f>Input!AP36</f>
        <v/>
      </c>
      <c r="AQ21" s="77">
        <f>Input!AQ36</f>
        <v/>
      </c>
      <c r="AR21" s="77">
        <f>Input!AR36</f>
        <v/>
      </c>
      <c r="AS21" s="77">
        <f>Input!AS36</f>
        <v/>
      </c>
      <c r="AT21" s="77">
        <f>Input!AT36</f>
        <v/>
      </c>
      <c r="AU21" s="77">
        <f>Input!AU36</f>
        <v/>
      </c>
      <c r="AV21" s="77">
        <f>Input!AV36</f>
        <v/>
      </c>
      <c r="AW21" s="77">
        <f>Input!AW36</f>
        <v/>
      </c>
      <c r="AX21" s="77">
        <f>Input!AX36</f>
        <v/>
      </c>
      <c r="AY21" s="77">
        <f>Input!AY36</f>
        <v/>
      </c>
      <c r="AZ21" s="77">
        <f>Input!AZ36</f>
        <v/>
      </c>
      <c r="BA21" s="77">
        <f>Input!BA36</f>
        <v/>
      </c>
      <c r="BB21" s="77">
        <f>Input!BB36</f>
        <v/>
      </c>
      <c r="BC21" s="77">
        <f>Input!BC36</f>
        <v/>
      </c>
      <c r="BD21" s="77">
        <f>Input!BD36</f>
        <v/>
      </c>
      <c r="BE21" s="77">
        <f>Input!BE36</f>
        <v/>
      </c>
      <c r="BF21" s="77">
        <f>Input!BF36</f>
        <v/>
      </c>
      <c r="BG21" s="77">
        <f>Input!BG36</f>
        <v/>
      </c>
      <c r="BH21" s="77">
        <f>Input!BH36</f>
        <v/>
      </c>
      <c r="BI21" s="77">
        <f>Input!BI36</f>
        <v/>
      </c>
      <c r="BJ21" s="77">
        <f>Input!BJ36</f>
        <v/>
      </c>
      <c r="BK21" s="77">
        <f>Input!BK36</f>
        <v/>
      </c>
      <c r="BL21" s="77">
        <f>Input!BL36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42" t="inlineStr">
        <is>
          <t xml:space="preserve">    Цена за единицу (руб) (мес)</t>
        </is>
      </c>
      <c r="B22" s="43" t="inlineStr">
        <is>
          <t>руб/ед</t>
        </is>
      </c>
      <c r="C22" s="48" t="inlineStr">
        <is>
          <t>—</t>
        </is>
      </c>
      <c r="D22" s="45" t="inlineStr"/>
      <c r="E22" s="77">
        <f>Input!E39</f>
        <v/>
      </c>
      <c r="F22" s="77">
        <f>Input!F39</f>
        <v/>
      </c>
      <c r="G22" s="77">
        <f>Input!G39</f>
        <v/>
      </c>
      <c r="H22" s="77">
        <f>Input!H39</f>
        <v/>
      </c>
      <c r="I22" s="77">
        <f>Input!I39</f>
        <v/>
      </c>
      <c r="J22" s="77">
        <f>Input!J39</f>
        <v/>
      </c>
      <c r="K22" s="77">
        <f>Input!K39</f>
        <v/>
      </c>
      <c r="L22" s="77">
        <f>Input!L39</f>
        <v/>
      </c>
      <c r="M22" s="77">
        <f>Input!M39</f>
        <v/>
      </c>
      <c r="N22" s="77">
        <f>Input!N39</f>
        <v/>
      </c>
      <c r="O22" s="77">
        <f>Input!O39</f>
        <v/>
      </c>
      <c r="P22" s="77">
        <f>Input!P39</f>
        <v/>
      </c>
      <c r="Q22" s="77">
        <f>Input!Q39</f>
        <v/>
      </c>
      <c r="R22" s="77">
        <f>Input!R39</f>
        <v/>
      </c>
      <c r="S22" s="77">
        <f>Input!S39</f>
        <v/>
      </c>
      <c r="T22" s="77">
        <f>Input!T39</f>
        <v/>
      </c>
      <c r="U22" s="77">
        <f>Input!U39</f>
        <v/>
      </c>
      <c r="V22" s="77">
        <f>Input!V39</f>
        <v/>
      </c>
      <c r="W22" s="77">
        <f>Input!W39</f>
        <v/>
      </c>
      <c r="X22" s="77">
        <f>Input!X39</f>
        <v/>
      </c>
      <c r="Y22" s="77">
        <f>Input!Y39</f>
        <v/>
      </c>
      <c r="Z22" s="77">
        <f>Input!Z39</f>
        <v/>
      </c>
      <c r="AA22" s="77">
        <f>Input!AA39</f>
        <v/>
      </c>
      <c r="AB22" s="77">
        <f>Input!AB39</f>
        <v/>
      </c>
      <c r="AC22" s="77">
        <f>Input!AC39</f>
        <v/>
      </c>
      <c r="AD22" s="77">
        <f>Input!AD39</f>
        <v/>
      </c>
      <c r="AE22" s="77">
        <f>Input!AE39</f>
        <v/>
      </c>
      <c r="AF22" s="77">
        <f>Input!AF39</f>
        <v/>
      </c>
      <c r="AG22" s="77">
        <f>Input!AG39</f>
        <v/>
      </c>
      <c r="AH22" s="77">
        <f>Input!AH39</f>
        <v/>
      </c>
      <c r="AI22" s="77">
        <f>Input!AI39</f>
        <v/>
      </c>
      <c r="AJ22" s="77">
        <f>Input!AJ39</f>
        <v/>
      </c>
      <c r="AK22" s="77">
        <f>Input!AK39</f>
        <v/>
      </c>
      <c r="AL22" s="77">
        <f>Input!AL39</f>
        <v/>
      </c>
      <c r="AM22" s="77">
        <f>Input!AM39</f>
        <v/>
      </c>
      <c r="AN22" s="77">
        <f>Input!AN39</f>
        <v/>
      </c>
      <c r="AO22" s="77">
        <f>Input!AO39</f>
        <v/>
      </c>
      <c r="AP22" s="77">
        <f>Input!AP39</f>
        <v/>
      </c>
      <c r="AQ22" s="77">
        <f>Input!AQ39</f>
        <v/>
      </c>
      <c r="AR22" s="77">
        <f>Input!AR39</f>
        <v/>
      </c>
      <c r="AS22" s="77">
        <f>Input!AS39</f>
        <v/>
      </c>
      <c r="AT22" s="77">
        <f>Input!AT39</f>
        <v/>
      </c>
      <c r="AU22" s="77">
        <f>Input!AU39</f>
        <v/>
      </c>
      <c r="AV22" s="77">
        <f>Input!AV39</f>
        <v/>
      </c>
      <c r="AW22" s="77">
        <f>Input!AW39</f>
        <v/>
      </c>
      <c r="AX22" s="77">
        <f>Input!AX39</f>
        <v/>
      </c>
      <c r="AY22" s="77">
        <f>Input!AY39</f>
        <v/>
      </c>
      <c r="AZ22" s="77">
        <f>Input!AZ39</f>
        <v/>
      </c>
      <c r="BA22" s="77">
        <f>Input!BA39</f>
        <v/>
      </c>
      <c r="BB22" s="77">
        <f>Input!BB39</f>
        <v/>
      </c>
      <c r="BC22" s="77">
        <f>Input!BC39</f>
        <v/>
      </c>
      <c r="BD22" s="77">
        <f>Input!BD39</f>
        <v/>
      </c>
      <c r="BE22" s="77">
        <f>Input!BE39</f>
        <v/>
      </c>
      <c r="BF22" s="77">
        <f>Input!BF39</f>
        <v/>
      </c>
      <c r="BG22" s="77">
        <f>Input!BG39</f>
        <v/>
      </c>
      <c r="BH22" s="77">
        <f>Input!BH39</f>
        <v/>
      </c>
      <c r="BI22" s="77">
        <f>Input!BI39</f>
        <v/>
      </c>
      <c r="BJ22" s="77">
        <f>Input!BJ39</f>
        <v/>
      </c>
      <c r="BK22" s="77">
        <f>Input!BK39</f>
        <v/>
      </c>
      <c r="BL22" s="77">
        <f>Input!BL39</f>
        <v/>
      </c>
    </row>
    <row r="23">
      <c r="A23" s="51" t="inlineStr">
        <is>
          <t xml:space="preserve">    Выручка Бар/кухня и retail (млн ₽)</t>
        </is>
      </c>
      <c r="B23" s="52" t="inlineStr">
        <is>
          <t>млн ₽</t>
        </is>
      </c>
      <c r="C23" s="53">
        <f>SUM(BN23:BR23)</f>
        <v/>
      </c>
      <c r="D23" s="45" t="inlineStr"/>
      <c r="E23" s="67">
        <f>E21*E22/1000000</f>
        <v/>
      </c>
      <c r="F23" s="67">
        <f>F21*F22/1000000</f>
        <v/>
      </c>
      <c r="G23" s="67">
        <f>G21*G22/1000000</f>
        <v/>
      </c>
      <c r="H23" s="67">
        <f>H21*H22/1000000</f>
        <v/>
      </c>
      <c r="I23" s="67">
        <f>I21*I22/1000000</f>
        <v/>
      </c>
      <c r="J23" s="67">
        <f>J21*J22/1000000</f>
        <v/>
      </c>
      <c r="K23" s="67">
        <f>K21*K22/1000000</f>
        <v/>
      </c>
      <c r="L23" s="67">
        <f>L21*L22/1000000</f>
        <v/>
      </c>
      <c r="M23" s="67">
        <f>M21*M22/1000000</f>
        <v/>
      </c>
      <c r="N23" s="67">
        <f>N21*N22/1000000</f>
        <v/>
      </c>
      <c r="O23" s="67">
        <f>O21*O22/1000000</f>
        <v/>
      </c>
      <c r="P23" s="67">
        <f>P21*P22/1000000</f>
        <v/>
      </c>
      <c r="Q23" s="67">
        <f>Q21*Q22/1000000</f>
        <v/>
      </c>
      <c r="R23" s="67">
        <f>R21*R22/1000000</f>
        <v/>
      </c>
      <c r="S23" s="67">
        <f>S21*S22/1000000</f>
        <v/>
      </c>
      <c r="T23" s="67">
        <f>T21*T22/1000000</f>
        <v/>
      </c>
      <c r="U23" s="67">
        <f>U21*U22/1000000</f>
        <v/>
      </c>
      <c r="V23" s="67">
        <f>V21*V22/1000000</f>
        <v/>
      </c>
      <c r="W23" s="67">
        <f>W21*W22/1000000</f>
        <v/>
      </c>
      <c r="X23" s="67">
        <f>X21*X22/1000000</f>
        <v/>
      </c>
      <c r="Y23" s="67">
        <f>Y21*Y22/1000000</f>
        <v/>
      </c>
      <c r="Z23" s="67">
        <f>Z21*Z22/1000000</f>
        <v/>
      </c>
      <c r="AA23" s="67">
        <f>AA21*AA22/1000000</f>
        <v/>
      </c>
      <c r="AB23" s="67">
        <f>AB21*AB22/1000000</f>
        <v/>
      </c>
      <c r="AC23" s="67">
        <f>AC21*AC22/1000000</f>
        <v/>
      </c>
      <c r="AD23" s="67">
        <f>AD21*AD22/1000000</f>
        <v/>
      </c>
      <c r="AE23" s="67">
        <f>AE21*AE22/1000000</f>
        <v/>
      </c>
      <c r="AF23" s="67">
        <f>AF21*AF22/1000000</f>
        <v/>
      </c>
      <c r="AG23" s="67">
        <f>AG21*AG22/1000000</f>
        <v/>
      </c>
      <c r="AH23" s="67">
        <f>AH21*AH22/1000000</f>
        <v/>
      </c>
      <c r="AI23" s="67">
        <f>AI21*AI22/1000000</f>
        <v/>
      </c>
      <c r="AJ23" s="67">
        <f>AJ21*AJ22/1000000</f>
        <v/>
      </c>
      <c r="AK23" s="67">
        <f>AK21*AK22/1000000</f>
        <v/>
      </c>
      <c r="AL23" s="67">
        <f>AL21*AL22/1000000</f>
        <v/>
      </c>
      <c r="AM23" s="67">
        <f>AM21*AM22/1000000</f>
        <v/>
      </c>
      <c r="AN23" s="67">
        <f>AN21*AN22/1000000</f>
        <v/>
      </c>
      <c r="AO23" s="67">
        <f>AO21*AO22/1000000</f>
        <v/>
      </c>
      <c r="AP23" s="67">
        <f>AP21*AP22/1000000</f>
        <v/>
      </c>
      <c r="AQ23" s="67">
        <f>AQ21*AQ22/1000000</f>
        <v/>
      </c>
      <c r="AR23" s="67">
        <f>AR21*AR22/1000000</f>
        <v/>
      </c>
      <c r="AS23" s="67">
        <f>AS21*AS22/1000000</f>
        <v/>
      </c>
      <c r="AT23" s="67">
        <f>AT21*AT22/1000000</f>
        <v/>
      </c>
      <c r="AU23" s="67">
        <f>AU21*AU22/1000000</f>
        <v/>
      </c>
      <c r="AV23" s="67">
        <f>AV21*AV22/1000000</f>
        <v/>
      </c>
      <c r="AW23" s="67">
        <f>AW21*AW22/1000000</f>
        <v/>
      </c>
      <c r="AX23" s="67">
        <f>AX21*AX22/1000000</f>
        <v/>
      </c>
      <c r="AY23" s="67">
        <f>AY21*AY22/1000000</f>
        <v/>
      </c>
      <c r="AZ23" s="67">
        <f>AZ21*AZ22/1000000</f>
        <v/>
      </c>
      <c r="BA23" s="67">
        <f>BA21*BA22/1000000</f>
        <v/>
      </c>
      <c r="BB23" s="67">
        <f>BB21*BB22/1000000</f>
        <v/>
      </c>
      <c r="BC23" s="67">
        <f>BC21*BC22/1000000</f>
        <v/>
      </c>
      <c r="BD23" s="67">
        <f>BD21*BD22/1000000</f>
        <v/>
      </c>
      <c r="BE23" s="67">
        <f>BE21*BE22/1000000</f>
        <v/>
      </c>
      <c r="BF23" s="67">
        <f>BF21*BF22/1000000</f>
        <v/>
      </c>
      <c r="BG23" s="67">
        <f>BG21*BG22/1000000</f>
        <v/>
      </c>
      <c r="BH23" s="67">
        <f>BH21*BH22/1000000</f>
        <v/>
      </c>
      <c r="BI23" s="67">
        <f>BI21*BI22/1000000</f>
        <v/>
      </c>
      <c r="BJ23" s="67">
        <f>BJ21*BJ22/1000000</f>
        <v/>
      </c>
      <c r="BK23" s="67">
        <f>BK21*BK22/1000000</f>
        <v/>
      </c>
      <c r="BL23" s="67">
        <f>BL21*BL22/1000000</f>
        <v/>
      </c>
      <c r="BN23" s="53">
        <f>SUM(E23:P23)</f>
        <v/>
      </c>
      <c r="BO23" s="53">
        <f>SUM(Q23:AB23)</f>
        <v/>
      </c>
      <c r="BP23" s="53">
        <f>SUM(AC23:AN23)</f>
        <v/>
      </c>
      <c r="BQ23" s="53">
        <f>SUM(AO23:AZ23)</f>
        <v/>
      </c>
      <c r="BR23" s="53">
        <f>SUM(BA23:BL23)</f>
        <v/>
      </c>
    </row>
    <row r="24"/>
    <row r="25" ht="22" customHeight="1">
      <c r="A25" s="78" t="inlineStr">
        <is>
          <t xml:space="preserve">  ВЫРУЧКА ДЛЯ P&amp;L (экспорт)</t>
        </is>
      </c>
    </row>
    <row r="26">
      <c r="A26" s="42" t="inlineStr">
        <is>
          <t xml:space="preserve">  Общая зона (билеты) (млн ₽)</t>
        </is>
      </c>
      <c r="B26" s="43" t="inlineStr">
        <is>
          <t>млн ₽</t>
        </is>
      </c>
      <c r="C26" s="53">
        <f>SUM(BN26:BR26)</f>
        <v/>
      </c>
      <c r="D26" s="45" t="inlineStr"/>
      <c r="E26" s="79">
        <f>E8</f>
        <v/>
      </c>
      <c r="F26" s="79">
        <f>F8</f>
        <v/>
      </c>
      <c r="G26" s="79">
        <f>G8</f>
        <v/>
      </c>
      <c r="H26" s="79">
        <f>H8</f>
        <v/>
      </c>
      <c r="I26" s="79">
        <f>I8</f>
        <v/>
      </c>
      <c r="J26" s="79">
        <f>J8</f>
        <v/>
      </c>
      <c r="K26" s="79">
        <f>K8</f>
        <v/>
      </c>
      <c r="L26" s="79">
        <f>L8</f>
        <v/>
      </c>
      <c r="M26" s="79">
        <f>M8</f>
        <v/>
      </c>
      <c r="N26" s="79">
        <f>N8</f>
        <v/>
      </c>
      <c r="O26" s="79">
        <f>O8</f>
        <v/>
      </c>
      <c r="P26" s="79">
        <f>P8</f>
        <v/>
      </c>
      <c r="Q26" s="79">
        <f>Q8</f>
        <v/>
      </c>
      <c r="R26" s="79">
        <f>R8</f>
        <v/>
      </c>
      <c r="S26" s="79">
        <f>S8</f>
        <v/>
      </c>
      <c r="T26" s="79">
        <f>T8</f>
        <v/>
      </c>
      <c r="U26" s="79">
        <f>U8</f>
        <v/>
      </c>
      <c r="V26" s="79">
        <f>V8</f>
        <v/>
      </c>
      <c r="W26" s="79">
        <f>W8</f>
        <v/>
      </c>
      <c r="X26" s="79">
        <f>X8</f>
        <v/>
      </c>
      <c r="Y26" s="79">
        <f>Y8</f>
        <v/>
      </c>
      <c r="Z26" s="79">
        <f>Z8</f>
        <v/>
      </c>
      <c r="AA26" s="79">
        <f>AA8</f>
        <v/>
      </c>
      <c r="AB26" s="79">
        <f>AB8</f>
        <v/>
      </c>
      <c r="AC26" s="79">
        <f>AC8</f>
        <v/>
      </c>
      <c r="AD26" s="79">
        <f>AD8</f>
        <v/>
      </c>
      <c r="AE26" s="79">
        <f>AE8</f>
        <v/>
      </c>
      <c r="AF26" s="79">
        <f>AF8</f>
        <v/>
      </c>
      <c r="AG26" s="79">
        <f>AG8</f>
        <v/>
      </c>
      <c r="AH26" s="79">
        <f>AH8</f>
        <v/>
      </c>
      <c r="AI26" s="79">
        <f>AI8</f>
        <v/>
      </c>
      <c r="AJ26" s="79">
        <f>AJ8</f>
        <v/>
      </c>
      <c r="AK26" s="79">
        <f>AK8</f>
        <v/>
      </c>
      <c r="AL26" s="79">
        <f>AL8</f>
        <v/>
      </c>
      <c r="AM26" s="79">
        <f>AM8</f>
        <v/>
      </c>
      <c r="AN26" s="79">
        <f>AN8</f>
        <v/>
      </c>
      <c r="AO26" s="79">
        <f>AO8</f>
        <v/>
      </c>
      <c r="AP26" s="79">
        <f>AP8</f>
        <v/>
      </c>
      <c r="AQ26" s="79">
        <f>AQ8</f>
        <v/>
      </c>
      <c r="AR26" s="79">
        <f>AR8</f>
        <v/>
      </c>
      <c r="AS26" s="79">
        <f>AS8</f>
        <v/>
      </c>
      <c r="AT26" s="79">
        <f>AT8</f>
        <v/>
      </c>
      <c r="AU26" s="79">
        <f>AU8</f>
        <v/>
      </c>
      <c r="AV26" s="79">
        <f>AV8</f>
        <v/>
      </c>
      <c r="AW26" s="79">
        <f>AW8</f>
        <v/>
      </c>
      <c r="AX26" s="79">
        <f>AX8</f>
        <v/>
      </c>
      <c r="AY26" s="79">
        <f>AY8</f>
        <v/>
      </c>
      <c r="AZ26" s="79">
        <f>AZ8</f>
        <v/>
      </c>
      <c r="BA26" s="79">
        <f>BA8</f>
        <v/>
      </c>
      <c r="BB26" s="79">
        <f>BB8</f>
        <v/>
      </c>
      <c r="BC26" s="79">
        <f>BC8</f>
        <v/>
      </c>
      <c r="BD26" s="79">
        <f>BD8</f>
        <v/>
      </c>
      <c r="BE26" s="79">
        <f>BE8</f>
        <v/>
      </c>
      <c r="BF26" s="79">
        <f>BF8</f>
        <v/>
      </c>
      <c r="BG26" s="79">
        <f>BG8</f>
        <v/>
      </c>
      <c r="BH26" s="79">
        <f>BH8</f>
        <v/>
      </c>
      <c r="BI26" s="79">
        <f>BI8</f>
        <v/>
      </c>
      <c r="BJ26" s="79">
        <f>BJ8</f>
        <v/>
      </c>
      <c r="BK26" s="79">
        <f>BK8</f>
        <v/>
      </c>
      <c r="BL26" s="79">
        <f>BL8</f>
        <v/>
      </c>
      <c r="BN26" s="53">
        <f>SUM(E26:P26)</f>
        <v/>
      </c>
      <c r="BO26" s="53">
        <f>SUM(Q26:AB26)</f>
        <v/>
      </c>
      <c r="BP26" s="53">
        <f>SUM(AC26:AN26)</f>
        <v/>
      </c>
      <c r="BQ26" s="53">
        <f>SUM(AO26:AZ26)</f>
        <v/>
      </c>
      <c r="BR26" s="53">
        <f>SUM(BA26:BL26)</f>
        <v/>
      </c>
    </row>
    <row r="27">
      <c r="A27" s="42" t="inlineStr">
        <is>
          <t xml:space="preserve">  Приватные кабины (млн ₽)</t>
        </is>
      </c>
      <c r="B27" s="43" t="inlineStr">
        <is>
          <t>млн ₽</t>
        </is>
      </c>
      <c r="C27" s="53">
        <f>SUM(BN27:BR27)</f>
        <v/>
      </c>
      <c r="D27" s="45" t="inlineStr"/>
      <c r="E27" s="79">
        <f>E13</f>
        <v/>
      </c>
      <c r="F27" s="79">
        <f>F13</f>
        <v/>
      </c>
      <c r="G27" s="79">
        <f>G13</f>
        <v/>
      </c>
      <c r="H27" s="79">
        <f>H13</f>
        <v/>
      </c>
      <c r="I27" s="79">
        <f>I13</f>
        <v/>
      </c>
      <c r="J27" s="79">
        <f>J13</f>
        <v/>
      </c>
      <c r="K27" s="79">
        <f>K13</f>
        <v/>
      </c>
      <c r="L27" s="79">
        <f>L13</f>
        <v/>
      </c>
      <c r="M27" s="79">
        <f>M13</f>
        <v/>
      </c>
      <c r="N27" s="79">
        <f>N13</f>
        <v/>
      </c>
      <c r="O27" s="79">
        <f>O13</f>
        <v/>
      </c>
      <c r="P27" s="79">
        <f>P13</f>
        <v/>
      </c>
      <c r="Q27" s="79">
        <f>Q13</f>
        <v/>
      </c>
      <c r="R27" s="79">
        <f>R13</f>
        <v/>
      </c>
      <c r="S27" s="79">
        <f>S13</f>
        <v/>
      </c>
      <c r="T27" s="79">
        <f>T13</f>
        <v/>
      </c>
      <c r="U27" s="79">
        <f>U13</f>
        <v/>
      </c>
      <c r="V27" s="79">
        <f>V13</f>
        <v/>
      </c>
      <c r="W27" s="79">
        <f>W13</f>
        <v/>
      </c>
      <c r="X27" s="79">
        <f>X13</f>
        <v/>
      </c>
      <c r="Y27" s="79">
        <f>Y13</f>
        <v/>
      </c>
      <c r="Z27" s="79">
        <f>Z13</f>
        <v/>
      </c>
      <c r="AA27" s="79">
        <f>AA13</f>
        <v/>
      </c>
      <c r="AB27" s="79">
        <f>AB13</f>
        <v/>
      </c>
      <c r="AC27" s="79">
        <f>AC13</f>
        <v/>
      </c>
      <c r="AD27" s="79">
        <f>AD13</f>
        <v/>
      </c>
      <c r="AE27" s="79">
        <f>AE13</f>
        <v/>
      </c>
      <c r="AF27" s="79">
        <f>AF13</f>
        <v/>
      </c>
      <c r="AG27" s="79">
        <f>AG13</f>
        <v/>
      </c>
      <c r="AH27" s="79">
        <f>AH13</f>
        <v/>
      </c>
      <c r="AI27" s="79">
        <f>AI13</f>
        <v/>
      </c>
      <c r="AJ27" s="79">
        <f>AJ13</f>
        <v/>
      </c>
      <c r="AK27" s="79">
        <f>AK13</f>
        <v/>
      </c>
      <c r="AL27" s="79">
        <f>AL13</f>
        <v/>
      </c>
      <c r="AM27" s="79">
        <f>AM13</f>
        <v/>
      </c>
      <c r="AN27" s="79">
        <f>AN13</f>
        <v/>
      </c>
      <c r="AO27" s="79">
        <f>AO13</f>
        <v/>
      </c>
      <c r="AP27" s="79">
        <f>AP13</f>
        <v/>
      </c>
      <c r="AQ27" s="79">
        <f>AQ13</f>
        <v/>
      </c>
      <c r="AR27" s="79">
        <f>AR13</f>
        <v/>
      </c>
      <c r="AS27" s="79">
        <f>AS13</f>
        <v/>
      </c>
      <c r="AT27" s="79">
        <f>AT13</f>
        <v/>
      </c>
      <c r="AU27" s="79">
        <f>AU13</f>
        <v/>
      </c>
      <c r="AV27" s="79">
        <f>AV13</f>
        <v/>
      </c>
      <c r="AW27" s="79">
        <f>AW13</f>
        <v/>
      </c>
      <c r="AX27" s="79">
        <f>AX13</f>
        <v/>
      </c>
      <c r="AY27" s="79">
        <f>AY13</f>
        <v/>
      </c>
      <c r="AZ27" s="79">
        <f>AZ13</f>
        <v/>
      </c>
      <c r="BA27" s="79">
        <f>BA13</f>
        <v/>
      </c>
      <c r="BB27" s="79">
        <f>BB13</f>
        <v/>
      </c>
      <c r="BC27" s="79">
        <f>BC13</f>
        <v/>
      </c>
      <c r="BD27" s="79">
        <f>BD13</f>
        <v/>
      </c>
      <c r="BE27" s="79">
        <f>BE13</f>
        <v/>
      </c>
      <c r="BF27" s="79">
        <f>BF13</f>
        <v/>
      </c>
      <c r="BG27" s="79">
        <f>BG13</f>
        <v/>
      </c>
      <c r="BH27" s="79">
        <f>BH13</f>
        <v/>
      </c>
      <c r="BI27" s="79">
        <f>BI13</f>
        <v/>
      </c>
      <c r="BJ27" s="79">
        <f>BJ13</f>
        <v/>
      </c>
      <c r="BK27" s="79">
        <f>BK13</f>
        <v/>
      </c>
      <c r="BL27" s="79">
        <f>BL13</f>
        <v/>
      </c>
      <c r="BN27" s="53">
        <f>SUM(E27:P27)</f>
        <v/>
      </c>
      <c r="BO27" s="53">
        <f>SUM(Q27:AB27)</f>
        <v/>
      </c>
      <c r="BP27" s="53">
        <f>SUM(AC27:AN27)</f>
        <v/>
      </c>
      <c r="BQ27" s="53">
        <f>SUM(AO27:AZ27)</f>
        <v/>
      </c>
      <c r="BR27" s="53">
        <f>SUM(BA27:BL27)</f>
        <v/>
      </c>
    </row>
    <row r="28">
      <c r="A28" s="42" t="inlineStr">
        <is>
          <t xml:space="preserve">  SPA и парение (млн ₽)</t>
        </is>
      </c>
      <c r="B28" s="43" t="inlineStr">
        <is>
          <t>млн ₽</t>
        </is>
      </c>
      <c r="C28" s="53">
        <f>SUM(BN28:BR28)</f>
        <v/>
      </c>
      <c r="D28" s="45" t="inlineStr"/>
      <c r="E28" s="79">
        <f>E18</f>
        <v/>
      </c>
      <c r="F28" s="79">
        <f>F18</f>
        <v/>
      </c>
      <c r="G28" s="79">
        <f>G18</f>
        <v/>
      </c>
      <c r="H28" s="79">
        <f>H18</f>
        <v/>
      </c>
      <c r="I28" s="79">
        <f>I18</f>
        <v/>
      </c>
      <c r="J28" s="79">
        <f>J18</f>
        <v/>
      </c>
      <c r="K28" s="79">
        <f>K18</f>
        <v/>
      </c>
      <c r="L28" s="79">
        <f>L18</f>
        <v/>
      </c>
      <c r="M28" s="79">
        <f>M18</f>
        <v/>
      </c>
      <c r="N28" s="79">
        <f>N18</f>
        <v/>
      </c>
      <c r="O28" s="79">
        <f>O18</f>
        <v/>
      </c>
      <c r="P28" s="79">
        <f>P18</f>
        <v/>
      </c>
      <c r="Q28" s="79">
        <f>Q18</f>
        <v/>
      </c>
      <c r="R28" s="79">
        <f>R18</f>
        <v/>
      </c>
      <c r="S28" s="79">
        <f>S18</f>
        <v/>
      </c>
      <c r="T28" s="79">
        <f>T18</f>
        <v/>
      </c>
      <c r="U28" s="79">
        <f>U18</f>
        <v/>
      </c>
      <c r="V28" s="79">
        <f>V18</f>
        <v/>
      </c>
      <c r="W28" s="79">
        <f>W18</f>
        <v/>
      </c>
      <c r="X28" s="79">
        <f>X18</f>
        <v/>
      </c>
      <c r="Y28" s="79">
        <f>Y18</f>
        <v/>
      </c>
      <c r="Z28" s="79">
        <f>Z18</f>
        <v/>
      </c>
      <c r="AA28" s="79">
        <f>AA18</f>
        <v/>
      </c>
      <c r="AB28" s="79">
        <f>AB18</f>
        <v/>
      </c>
      <c r="AC28" s="79">
        <f>AC18</f>
        <v/>
      </c>
      <c r="AD28" s="79">
        <f>AD18</f>
        <v/>
      </c>
      <c r="AE28" s="79">
        <f>AE18</f>
        <v/>
      </c>
      <c r="AF28" s="79">
        <f>AF18</f>
        <v/>
      </c>
      <c r="AG28" s="79">
        <f>AG18</f>
        <v/>
      </c>
      <c r="AH28" s="79">
        <f>AH18</f>
        <v/>
      </c>
      <c r="AI28" s="79">
        <f>AI18</f>
        <v/>
      </c>
      <c r="AJ28" s="79">
        <f>AJ18</f>
        <v/>
      </c>
      <c r="AK28" s="79">
        <f>AK18</f>
        <v/>
      </c>
      <c r="AL28" s="79">
        <f>AL18</f>
        <v/>
      </c>
      <c r="AM28" s="79">
        <f>AM18</f>
        <v/>
      </c>
      <c r="AN28" s="79">
        <f>AN18</f>
        <v/>
      </c>
      <c r="AO28" s="79">
        <f>AO18</f>
        <v/>
      </c>
      <c r="AP28" s="79">
        <f>AP18</f>
        <v/>
      </c>
      <c r="AQ28" s="79">
        <f>AQ18</f>
        <v/>
      </c>
      <c r="AR28" s="79">
        <f>AR18</f>
        <v/>
      </c>
      <c r="AS28" s="79">
        <f>AS18</f>
        <v/>
      </c>
      <c r="AT28" s="79">
        <f>AT18</f>
        <v/>
      </c>
      <c r="AU28" s="79">
        <f>AU18</f>
        <v/>
      </c>
      <c r="AV28" s="79">
        <f>AV18</f>
        <v/>
      </c>
      <c r="AW28" s="79">
        <f>AW18</f>
        <v/>
      </c>
      <c r="AX28" s="79">
        <f>AX18</f>
        <v/>
      </c>
      <c r="AY28" s="79">
        <f>AY18</f>
        <v/>
      </c>
      <c r="AZ28" s="79">
        <f>AZ18</f>
        <v/>
      </c>
      <c r="BA28" s="79">
        <f>BA18</f>
        <v/>
      </c>
      <c r="BB28" s="79">
        <f>BB18</f>
        <v/>
      </c>
      <c r="BC28" s="79">
        <f>BC18</f>
        <v/>
      </c>
      <c r="BD28" s="79">
        <f>BD18</f>
        <v/>
      </c>
      <c r="BE28" s="79">
        <f>BE18</f>
        <v/>
      </c>
      <c r="BF28" s="79">
        <f>BF18</f>
        <v/>
      </c>
      <c r="BG28" s="79">
        <f>BG18</f>
        <v/>
      </c>
      <c r="BH28" s="79">
        <f>BH18</f>
        <v/>
      </c>
      <c r="BI28" s="79">
        <f>BI18</f>
        <v/>
      </c>
      <c r="BJ28" s="79">
        <f>BJ18</f>
        <v/>
      </c>
      <c r="BK28" s="79">
        <f>BK18</f>
        <v/>
      </c>
      <c r="BL28" s="79">
        <f>BL18</f>
        <v/>
      </c>
      <c r="BN28" s="53">
        <f>SUM(E28:P28)</f>
        <v/>
      </c>
      <c r="BO28" s="53">
        <f>SUM(Q28:AB28)</f>
        <v/>
      </c>
      <c r="BP28" s="53">
        <f>SUM(AC28:AN28)</f>
        <v/>
      </c>
      <c r="BQ28" s="53">
        <f>SUM(AO28:AZ28)</f>
        <v/>
      </c>
      <c r="BR28" s="53">
        <f>SUM(BA28:BL28)</f>
        <v/>
      </c>
    </row>
    <row r="29">
      <c r="A29" s="42" t="inlineStr">
        <is>
          <t xml:space="preserve">  Бар/кухня и retail (млн ₽)</t>
        </is>
      </c>
      <c r="B29" s="43" t="inlineStr">
        <is>
          <t>млн ₽</t>
        </is>
      </c>
      <c r="C29" s="53">
        <f>SUM(BN29:BR29)</f>
        <v/>
      </c>
      <c r="D29" s="45" t="inlineStr"/>
      <c r="E29" s="79">
        <f>E23</f>
        <v/>
      </c>
      <c r="F29" s="79">
        <f>F23</f>
        <v/>
      </c>
      <c r="G29" s="79">
        <f>G23</f>
        <v/>
      </c>
      <c r="H29" s="79">
        <f>H23</f>
        <v/>
      </c>
      <c r="I29" s="79">
        <f>I23</f>
        <v/>
      </c>
      <c r="J29" s="79">
        <f>J23</f>
        <v/>
      </c>
      <c r="K29" s="79">
        <f>K23</f>
        <v/>
      </c>
      <c r="L29" s="79">
        <f>L23</f>
        <v/>
      </c>
      <c r="M29" s="79">
        <f>M23</f>
        <v/>
      </c>
      <c r="N29" s="79">
        <f>N23</f>
        <v/>
      </c>
      <c r="O29" s="79">
        <f>O23</f>
        <v/>
      </c>
      <c r="P29" s="79">
        <f>P23</f>
        <v/>
      </c>
      <c r="Q29" s="79">
        <f>Q23</f>
        <v/>
      </c>
      <c r="R29" s="79">
        <f>R23</f>
        <v/>
      </c>
      <c r="S29" s="79">
        <f>S23</f>
        <v/>
      </c>
      <c r="T29" s="79">
        <f>T23</f>
        <v/>
      </c>
      <c r="U29" s="79">
        <f>U23</f>
        <v/>
      </c>
      <c r="V29" s="79">
        <f>V23</f>
        <v/>
      </c>
      <c r="W29" s="79">
        <f>W23</f>
        <v/>
      </c>
      <c r="X29" s="79">
        <f>X23</f>
        <v/>
      </c>
      <c r="Y29" s="79">
        <f>Y23</f>
        <v/>
      </c>
      <c r="Z29" s="79">
        <f>Z23</f>
        <v/>
      </c>
      <c r="AA29" s="79">
        <f>AA23</f>
        <v/>
      </c>
      <c r="AB29" s="79">
        <f>AB23</f>
        <v/>
      </c>
      <c r="AC29" s="79">
        <f>AC23</f>
        <v/>
      </c>
      <c r="AD29" s="79">
        <f>AD23</f>
        <v/>
      </c>
      <c r="AE29" s="79">
        <f>AE23</f>
        <v/>
      </c>
      <c r="AF29" s="79">
        <f>AF23</f>
        <v/>
      </c>
      <c r="AG29" s="79">
        <f>AG23</f>
        <v/>
      </c>
      <c r="AH29" s="79">
        <f>AH23</f>
        <v/>
      </c>
      <c r="AI29" s="79">
        <f>AI23</f>
        <v/>
      </c>
      <c r="AJ29" s="79">
        <f>AJ23</f>
        <v/>
      </c>
      <c r="AK29" s="79">
        <f>AK23</f>
        <v/>
      </c>
      <c r="AL29" s="79">
        <f>AL23</f>
        <v/>
      </c>
      <c r="AM29" s="79">
        <f>AM23</f>
        <v/>
      </c>
      <c r="AN29" s="79">
        <f>AN23</f>
        <v/>
      </c>
      <c r="AO29" s="79">
        <f>AO23</f>
        <v/>
      </c>
      <c r="AP29" s="79">
        <f>AP23</f>
        <v/>
      </c>
      <c r="AQ29" s="79">
        <f>AQ23</f>
        <v/>
      </c>
      <c r="AR29" s="79">
        <f>AR23</f>
        <v/>
      </c>
      <c r="AS29" s="79">
        <f>AS23</f>
        <v/>
      </c>
      <c r="AT29" s="79">
        <f>AT23</f>
        <v/>
      </c>
      <c r="AU29" s="79">
        <f>AU23</f>
        <v/>
      </c>
      <c r="AV29" s="79">
        <f>AV23</f>
        <v/>
      </c>
      <c r="AW29" s="79">
        <f>AW23</f>
        <v/>
      </c>
      <c r="AX29" s="79">
        <f>AX23</f>
        <v/>
      </c>
      <c r="AY29" s="79">
        <f>AY23</f>
        <v/>
      </c>
      <c r="AZ29" s="79">
        <f>AZ23</f>
        <v/>
      </c>
      <c r="BA29" s="79">
        <f>BA23</f>
        <v/>
      </c>
      <c r="BB29" s="79">
        <f>BB23</f>
        <v/>
      </c>
      <c r="BC29" s="79">
        <f>BC23</f>
        <v/>
      </c>
      <c r="BD29" s="79">
        <f>BD23</f>
        <v/>
      </c>
      <c r="BE29" s="79">
        <f>BE23</f>
        <v/>
      </c>
      <c r="BF29" s="79">
        <f>BF23</f>
        <v/>
      </c>
      <c r="BG29" s="79">
        <f>BG23</f>
        <v/>
      </c>
      <c r="BH29" s="79">
        <f>BH23</f>
        <v/>
      </c>
      <c r="BI29" s="79">
        <f>BI23</f>
        <v/>
      </c>
      <c r="BJ29" s="79">
        <f>BJ23</f>
        <v/>
      </c>
      <c r="BK29" s="79">
        <f>BK23</f>
        <v/>
      </c>
      <c r="BL29" s="79">
        <f>BL23</f>
        <v/>
      </c>
      <c r="BN29" s="53">
        <f>SUM(E29:P29)</f>
        <v/>
      </c>
      <c r="BO29" s="53">
        <f>SUM(Q29:AB29)</f>
        <v/>
      </c>
      <c r="BP29" s="53">
        <f>SUM(AC29:AN29)</f>
        <v/>
      </c>
      <c r="BQ29" s="53">
        <f>SUM(AO29:AZ29)</f>
        <v/>
      </c>
      <c r="BR29" s="53">
        <f>SUM(BA29:BL29)</f>
        <v/>
      </c>
    </row>
    <row r="30" ht="22" customHeight="1">
      <c r="A30" s="80" t="inlineStr">
        <is>
          <t>ИТОГО ВЫРУЧКА ДЛЯ P&amp;L (млн ₽)</t>
        </is>
      </c>
      <c r="B30" s="81" t="inlineStr">
        <is>
          <t>млн ₽</t>
        </is>
      </c>
      <c r="C30" s="82">
        <f>SUM(BN30:BR30)</f>
        <v/>
      </c>
      <c r="D30" s="45" t="inlineStr"/>
      <c r="E30" s="82">
        <f>E8+E13+E18+E23</f>
        <v/>
      </c>
      <c r="F30" s="82">
        <f>F8+F13+F18+F23</f>
        <v/>
      </c>
      <c r="G30" s="82">
        <f>G8+G13+G18+G23</f>
        <v/>
      </c>
      <c r="H30" s="82">
        <f>H8+H13+H18+H23</f>
        <v/>
      </c>
      <c r="I30" s="82">
        <f>I8+I13+I18+I23</f>
        <v/>
      </c>
      <c r="J30" s="82">
        <f>J8+J13+J18+J23</f>
        <v/>
      </c>
      <c r="K30" s="82">
        <f>K8+K13+K18+K23</f>
        <v/>
      </c>
      <c r="L30" s="82">
        <f>L8+L13+L18+L23</f>
        <v/>
      </c>
      <c r="M30" s="82">
        <f>M8+M13+M18+M23</f>
        <v/>
      </c>
      <c r="N30" s="82">
        <f>N8+N13+N18+N23</f>
        <v/>
      </c>
      <c r="O30" s="82">
        <f>O8+O13+O18+O23</f>
        <v/>
      </c>
      <c r="P30" s="82">
        <f>P8+P13+P18+P23</f>
        <v/>
      </c>
      <c r="Q30" s="82">
        <f>Q8+Q13+Q18+Q23</f>
        <v/>
      </c>
      <c r="R30" s="82">
        <f>R8+R13+R18+R23</f>
        <v/>
      </c>
      <c r="S30" s="82">
        <f>S8+S13+S18+S23</f>
        <v/>
      </c>
      <c r="T30" s="82">
        <f>T8+T13+T18+T23</f>
        <v/>
      </c>
      <c r="U30" s="82">
        <f>U8+U13+U18+U23</f>
        <v/>
      </c>
      <c r="V30" s="82">
        <f>V8+V13+V18+V23</f>
        <v/>
      </c>
      <c r="W30" s="82">
        <f>W8+W13+W18+W23</f>
        <v/>
      </c>
      <c r="X30" s="82">
        <f>X8+X13+X18+X23</f>
        <v/>
      </c>
      <c r="Y30" s="82">
        <f>Y8+Y13+Y18+Y23</f>
        <v/>
      </c>
      <c r="Z30" s="82">
        <f>Z8+Z13+Z18+Z23</f>
        <v/>
      </c>
      <c r="AA30" s="82">
        <f>AA8+AA13+AA18+AA23</f>
        <v/>
      </c>
      <c r="AB30" s="82">
        <f>AB8+AB13+AB18+AB23</f>
        <v/>
      </c>
      <c r="AC30" s="82">
        <f>AC8+AC13+AC18+AC23</f>
        <v/>
      </c>
      <c r="AD30" s="82">
        <f>AD8+AD13+AD18+AD23</f>
        <v/>
      </c>
      <c r="AE30" s="82">
        <f>AE8+AE13+AE18+AE23</f>
        <v/>
      </c>
      <c r="AF30" s="82">
        <f>AF8+AF13+AF18+AF23</f>
        <v/>
      </c>
      <c r="AG30" s="82">
        <f>AG8+AG13+AG18+AG23</f>
        <v/>
      </c>
      <c r="AH30" s="82">
        <f>AH8+AH13+AH18+AH23</f>
        <v/>
      </c>
      <c r="AI30" s="82">
        <f>AI8+AI13+AI18+AI23</f>
        <v/>
      </c>
      <c r="AJ30" s="82">
        <f>AJ8+AJ13+AJ18+AJ23</f>
        <v/>
      </c>
      <c r="AK30" s="82">
        <f>AK8+AK13+AK18+AK23</f>
        <v/>
      </c>
      <c r="AL30" s="82">
        <f>AL8+AL13+AL18+AL23</f>
        <v/>
      </c>
      <c r="AM30" s="82">
        <f>AM8+AM13+AM18+AM23</f>
        <v/>
      </c>
      <c r="AN30" s="82">
        <f>AN8+AN13+AN18+AN23</f>
        <v/>
      </c>
      <c r="AO30" s="82">
        <f>AO8+AO13+AO18+AO23</f>
        <v/>
      </c>
      <c r="AP30" s="82">
        <f>AP8+AP13+AP18+AP23</f>
        <v/>
      </c>
      <c r="AQ30" s="82">
        <f>AQ8+AQ13+AQ18+AQ23</f>
        <v/>
      </c>
      <c r="AR30" s="82">
        <f>AR8+AR13+AR18+AR23</f>
        <v/>
      </c>
      <c r="AS30" s="82">
        <f>AS8+AS13+AS18+AS23</f>
        <v/>
      </c>
      <c r="AT30" s="82">
        <f>AT8+AT13+AT18+AT23</f>
        <v/>
      </c>
      <c r="AU30" s="82">
        <f>AU8+AU13+AU18+AU23</f>
        <v/>
      </c>
      <c r="AV30" s="82">
        <f>AV8+AV13+AV18+AV23</f>
        <v/>
      </c>
      <c r="AW30" s="82">
        <f>AW8+AW13+AW18+AW23</f>
        <v/>
      </c>
      <c r="AX30" s="82">
        <f>AX8+AX13+AX18+AX23</f>
        <v/>
      </c>
      <c r="AY30" s="82">
        <f>AY8+AY13+AY18+AY23</f>
        <v/>
      </c>
      <c r="AZ30" s="82">
        <f>AZ8+AZ13+AZ18+AZ23</f>
        <v/>
      </c>
      <c r="BA30" s="82">
        <f>BA8+BA13+BA18+BA23</f>
        <v/>
      </c>
      <c r="BB30" s="82">
        <f>BB8+BB13+BB18+BB23</f>
        <v/>
      </c>
      <c r="BC30" s="82">
        <f>BC8+BC13+BC18+BC23</f>
        <v/>
      </c>
      <c r="BD30" s="82">
        <f>BD8+BD13+BD18+BD23</f>
        <v/>
      </c>
      <c r="BE30" s="82">
        <f>BE8+BE13+BE18+BE23</f>
        <v/>
      </c>
      <c r="BF30" s="82">
        <f>BF8+BF13+BF18+BF23</f>
        <v/>
      </c>
      <c r="BG30" s="82">
        <f>BG8+BG13+BG18+BG23</f>
        <v/>
      </c>
      <c r="BH30" s="82">
        <f>BH8+BH13+BH18+BH23</f>
        <v/>
      </c>
      <c r="BI30" s="82">
        <f>BI8+BI13+BI18+BI23</f>
        <v/>
      </c>
      <c r="BJ30" s="82">
        <f>BJ8+BJ13+BJ18+BJ23</f>
        <v/>
      </c>
      <c r="BK30" s="82">
        <f>BK8+BK13+BK18+BK23</f>
        <v/>
      </c>
      <c r="BL30" s="82">
        <f>BL8+BL13+BL18+BL23</f>
        <v/>
      </c>
      <c r="BN30" s="82">
        <f>SUM(E30:P30)</f>
        <v/>
      </c>
      <c r="BO30" s="82">
        <f>SUM(Q30:AB30)</f>
        <v/>
      </c>
      <c r="BP30" s="82">
        <f>SUM(AC30:AN30)</f>
        <v/>
      </c>
      <c r="BQ30" s="82">
        <f>SUM(AO30:AZ30)</f>
        <v/>
      </c>
      <c r="BR30" s="82">
        <f>SUM(BA30:BL30)</f>
        <v/>
      </c>
    </row>
    <row r="31">
      <c r="A31" s="42" t="inlineStr">
        <is>
          <t xml:space="preserve">    Рост выручки г/г</t>
        </is>
      </c>
      <c r="B31" s="43" t="inlineStr">
        <is>
          <t>%</t>
        </is>
      </c>
      <c r="C31" s="48" t="inlineStr">
        <is>
          <t>—</t>
        </is>
      </c>
      <c r="D31" s="45" t="inlineStr"/>
      <c r="E31" s="42" t="inlineStr"/>
      <c r="F31" s="42" t="inlineStr"/>
      <c r="G31" s="42" t="inlineStr"/>
      <c r="H31" s="42" t="inlineStr"/>
      <c r="I31" s="42" t="inlineStr"/>
      <c r="J31" s="42" t="inlineStr"/>
      <c r="K31" s="42" t="inlineStr"/>
      <c r="L31" s="42" t="inlineStr"/>
      <c r="M31" s="42" t="inlineStr"/>
      <c r="N31" s="42" t="inlineStr"/>
      <c r="O31" s="42" t="inlineStr"/>
      <c r="P31" s="42" t="inlineStr"/>
      <c r="Q31" s="42" t="inlineStr"/>
      <c r="R31" s="42" t="inlineStr"/>
      <c r="S31" s="42" t="inlineStr"/>
      <c r="T31" s="42" t="inlineStr"/>
      <c r="U31" s="42" t="inlineStr"/>
      <c r="V31" s="42" t="inlineStr"/>
      <c r="W31" s="42" t="inlineStr"/>
      <c r="X31" s="42" t="inlineStr"/>
      <c r="Y31" s="42" t="inlineStr"/>
      <c r="Z31" s="42" t="inlineStr"/>
      <c r="AA31" s="42" t="inlineStr"/>
      <c r="AB31" s="42" t="inlineStr"/>
      <c r="AC31" s="42" t="inlineStr"/>
      <c r="AD31" s="42" t="inlineStr"/>
      <c r="AE31" s="42" t="inlineStr"/>
      <c r="AF31" s="42" t="inlineStr"/>
      <c r="AG31" s="42" t="inlineStr"/>
      <c r="AH31" s="42" t="inlineStr"/>
      <c r="AI31" s="42" t="inlineStr"/>
      <c r="AJ31" s="42" t="inlineStr"/>
      <c r="AK31" s="42" t="inlineStr"/>
      <c r="AL31" s="42" t="inlineStr"/>
      <c r="AM31" s="42" t="inlineStr"/>
      <c r="AN31" s="42" t="inlineStr"/>
      <c r="AO31" s="42" t="inlineStr"/>
      <c r="AP31" s="42" t="inlineStr"/>
      <c r="AQ31" s="42" t="inlineStr"/>
      <c r="AR31" s="42" t="inlineStr"/>
      <c r="AS31" s="42" t="inlineStr"/>
      <c r="AT31" s="42" t="inlineStr"/>
      <c r="AU31" s="42" t="inlineStr"/>
      <c r="AV31" s="42" t="inlineStr"/>
      <c r="AW31" s="42" t="inlineStr"/>
      <c r="AX31" s="42" t="inlineStr"/>
      <c r="AY31" s="42" t="inlineStr"/>
      <c r="AZ31" s="42" t="inlineStr"/>
      <c r="BA31" s="42" t="inlineStr"/>
      <c r="BB31" s="42" t="inlineStr"/>
      <c r="BC31" s="42" t="inlineStr"/>
      <c r="BD31" s="42" t="inlineStr"/>
      <c r="BE31" s="42" t="inlineStr"/>
      <c r="BF31" s="42" t="inlineStr"/>
      <c r="BG31" s="42" t="inlineStr"/>
      <c r="BH31" s="42" t="inlineStr"/>
      <c r="BI31" s="42" t="inlineStr"/>
      <c r="BJ31" s="42" t="inlineStr"/>
      <c r="BK31" s="42" t="inlineStr"/>
      <c r="BL31" s="42" t="inlineStr"/>
      <c r="BN31" s="46" t="inlineStr">
        <is>
          <t>—</t>
        </is>
      </c>
      <c r="BO31" s="83">
        <f>IFERROR((BO30-BN30)/BN30,"-")</f>
        <v/>
      </c>
      <c r="BP31" s="83">
        <f>IFERROR((BP30-BO30)/BO30,"-")</f>
        <v/>
      </c>
      <c r="BQ31" s="83">
        <f>IFERROR((BQ30-BP30)/BP30,"-")</f>
        <v/>
      </c>
      <c r="BR31" s="83">
        <f>IFERROR((BR30-BQ30)/BQ30,"-")</f>
        <v/>
      </c>
    </row>
    <row r="32">
      <c r="A32" s="42" t="inlineStr">
        <is>
          <t xml:space="preserve">    CAGR (Год 1 → Год 5)</t>
        </is>
      </c>
      <c r="B32" s="43" t="inlineStr">
        <is>
          <t>%</t>
        </is>
      </c>
      <c r="C32" s="48" t="inlineStr">
        <is>
          <t>—</t>
        </is>
      </c>
      <c r="D32" s="45" t="inlineStr"/>
      <c r="E32" s="42" t="inlineStr"/>
      <c r="F32" s="42" t="inlineStr"/>
      <c r="G32" s="42" t="inlineStr"/>
      <c r="H32" s="42" t="inlineStr"/>
      <c r="I32" s="42" t="inlineStr"/>
      <c r="J32" s="42" t="inlineStr"/>
      <c r="K32" s="42" t="inlineStr"/>
      <c r="L32" s="42" t="inlineStr"/>
      <c r="M32" s="42" t="inlineStr"/>
      <c r="N32" s="42" t="inlineStr"/>
      <c r="O32" s="42" t="inlineStr"/>
      <c r="P32" s="42" t="inlineStr"/>
      <c r="Q32" s="42" t="inlineStr"/>
      <c r="R32" s="42" t="inlineStr"/>
      <c r="S32" s="42" t="inlineStr"/>
      <c r="T32" s="42" t="inlineStr"/>
      <c r="U32" s="42" t="inlineStr"/>
      <c r="V32" s="42" t="inlineStr"/>
      <c r="W32" s="42" t="inlineStr"/>
      <c r="X32" s="42" t="inlineStr"/>
      <c r="Y32" s="42" t="inlineStr"/>
      <c r="Z32" s="42" t="inlineStr"/>
      <c r="AA32" s="42" t="inlineStr"/>
      <c r="AB32" s="42" t="inlineStr"/>
      <c r="AC32" s="42" t="inlineStr"/>
      <c r="AD32" s="42" t="inlineStr"/>
      <c r="AE32" s="42" t="inlineStr"/>
      <c r="AF32" s="42" t="inlineStr"/>
      <c r="AG32" s="42" t="inlineStr"/>
      <c r="AH32" s="42" t="inlineStr"/>
      <c r="AI32" s="42" t="inlineStr"/>
      <c r="AJ32" s="42" t="inlineStr"/>
      <c r="AK32" s="42" t="inlineStr"/>
      <c r="AL32" s="42" t="inlineStr"/>
      <c r="AM32" s="42" t="inlineStr"/>
      <c r="AN32" s="42" t="inlineStr"/>
      <c r="AO32" s="42" t="inlineStr"/>
      <c r="AP32" s="42" t="inlineStr"/>
      <c r="AQ32" s="42" t="inlineStr"/>
      <c r="AR32" s="42" t="inlineStr"/>
      <c r="AS32" s="42" t="inlineStr"/>
      <c r="AT32" s="42" t="inlineStr"/>
      <c r="AU32" s="42" t="inlineStr"/>
      <c r="AV32" s="42" t="inlineStr"/>
      <c r="AW32" s="42" t="inlineStr"/>
      <c r="AX32" s="42" t="inlineStr"/>
      <c r="AY32" s="42" t="inlineStr"/>
      <c r="AZ32" s="42" t="inlineStr"/>
      <c r="BA32" s="42" t="inlineStr"/>
      <c r="BB32" s="42" t="inlineStr"/>
      <c r="BC32" s="42" t="inlineStr"/>
      <c r="BD32" s="42" t="inlineStr"/>
      <c r="BE32" s="42" t="inlineStr"/>
      <c r="BF32" s="42" t="inlineStr"/>
      <c r="BG32" s="42" t="inlineStr"/>
      <c r="BH32" s="42" t="inlineStr"/>
      <c r="BI32" s="42" t="inlineStr"/>
      <c r="BJ32" s="42" t="inlineStr"/>
      <c r="BK32" s="42" t="inlineStr"/>
      <c r="BL32" s="42" t="inlineStr"/>
      <c r="BN32" s="46" t="inlineStr">
        <is>
          <t>—</t>
        </is>
      </c>
      <c r="BO32" s="46" t="inlineStr">
        <is>
          <t>—</t>
        </is>
      </c>
      <c r="BP32" s="46" t="inlineStr">
        <is>
          <t>—</t>
        </is>
      </c>
      <c r="BQ32" s="46" t="inlineStr">
        <is>
          <t>—</t>
        </is>
      </c>
      <c r="BR32" s="83">
        <f>IFERROR((BR30/BN30)^(1/4)-1,"-")</f>
        <v/>
      </c>
    </row>
  </sheetData>
  <mergeCells count="7">
    <mergeCell ref="A25:BR25"/>
    <mergeCell ref="A2:BR2"/>
    <mergeCell ref="A10:BR10"/>
    <mergeCell ref="A5:BR5"/>
    <mergeCell ref="A1:BR1"/>
    <mergeCell ref="A20:BR20"/>
    <mergeCell ref="A15:BR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0"/>
    <pageSetUpPr/>
  </sheetPr>
  <dimension ref="A1:BR33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COGS &amp; SG&amp;A (помесячно)</t>
        </is>
      </c>
    </row>
    <row r="2" ht="18" customHeight="1">
      <c r="A2" s="38" t="inlineStr">
        <is>
          <t xml:space="preserve">  🟡 драйверы — из Input  |  ⚫ типы: %×выручка / фикс ₽ (индексация по макро) / ₽·ед×объём  |  🔴 экспорт в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(импорт из листа Выручка)</t>
        </is>
      </c>
    </row>
    <row r="6">
      <c r="A6" s="51" t="inlineStr">
        <is>
          <t>Выручка итого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Выручка!E30</f>
        <v/>
      </c>
      <c r="F6" s="84">
        <f>Выручка!F30</f>
        <v/>
      </c>
      <c r="G6" s="84">
        <f>Выручка!G30</f>
        <v/>
      </c>
      <c r="H6" s="84">
        <f>Выручка!H30</f>
        <v/>
      </c>
      <c r="I6" s="84">
        <f>Выручка!I30</f>
        <v/>
      </c>
      <c r="J6" s="84">
        <f>Выручка!J30</f>
        <v/>
      </c>
      <c r="K6" s="84">
        <f>Выручка!K30</f>
        <v/>
      </c>
      <c r="L6" s="84">
        <f>Выручка!L30</f>
        <v/>
      </c>
      <c r="M6" s="84">
        <f>Выручка!M30</f>
        <v/>
      </c>
      <c r="N6" s="84">
        <f>Выручка!N30</f>
        <v/>
      </c>
      <c r="O6" s="84">
        <f>Выручка!O30</f>
        <v/>
      </c>
      <c r="P6" s="84">
        <f>Выручка!P30</f>
        <v/>
      </c>
      <c r="Q6" s="84">
        <f>Выручка!Q30</f>
        <v/>
      </c>
      <c r="R6" s="84">
        <f>Выручка!R30</f>
        <v/>
      </c>
      <c r="S6" s="84">
        <f>Выручка!S30</f>
        <v/>
      </c>
      <c r="T6" s="84">
        <f>Выручка!T30</f>
        <v/>
      </c>
      <c r="U6" s="84">
        <f>Выручка!U30</f>
        <v/>
      </c>
      <c r="V6" s="84">
        <f>Выручка!V30</f>
        <v/>
      </c>
      <c r="W6" s="84">
        <f>Выручка!W30</f>
        <v/>
      </c>
      <c r="X6" s="84">
        <f>Выручка!X30</f>
        <v/>
      </c>
      <c r="Y6" s="84">
        <f>Выручка!Y30</f>
        <v/>
      </c>
      <c r="Z6" s="84">
        <f>Выручка!Z30</f>
        <v/>
      </c>
      <c r="AA6" s="84">
        <f>Выручка!AA30</f>
        <v/>
      </c>
      <c r="AB6" s="84">
        <f>Выручка!AB30</f>
        <v/>
      </c>
      <c r="AC6" s="84">
        <f>Выручка!AC30</f>
        <v/>
      </c>
      <c r="AD6" s="84">
        <f>Выручка!AD30</f>
        <v/>
      </c>
      <c r="AE6" s="84">
        <f>Выручка!AE30</f>
        <v/>
      </c>
      <c r="AF6" s="84">
        <f>Выручка!AF30</f>
        <v/>
      </c>
      <c r="AG6" s="84">
        <f>Выручка!AG30</f>
        <v/>
      </c>
      <c r="AH6" s="84">
        <f>Выручка!AH30</f>
        <v/>
      </c>
      <c r="AI6" s="84">
        <f>Выручка!AI30</f>
        <v/>
      </c>
      <c r="AJ6" s="84">
        <f>Выручка!AJ30</f>
        <v/>
      </c>
      <c r="AK6" s="84">
        <f>Выручка!AK30</f>
        <v/>
      </c>
      <c r="AL6" s="84">
        <f>Выручка!AL30</f>
        <v/>
      </c>
      <c r="AM6" s="84">
        <f>Выручка!AM30</f>
        <v/>
      </c>
      <c r="AN6" s="84">
        <f>Выручка!AN30</f>
        <v/>
      </c>
      <c r="AO6" s="84">
        <f>Выручка!AO30</f>
        <v/>
      </c>
      <c r="AP6" s="84">
        <f>Выручка!AP30</f>
        <v/>
      </c>
      <c r="AQ6" s="84">
        <f>Выручка!AQ30</f>
        <v/>
      </c>
      <c r="AR6" s="84">
        <f>Выручка!AR30</f>
        <v/>
      </c>
      <c r="AS6" s="84">
        <f>Выручка!AS30</f>
        <v/>
      </c>
      <c r="AT6" s="84">
        <f>Выручка!AT30</f>
        <v/>
      </c>
      <c r="AU6" s="84">
        <f>Выручка!AU30</f>
        <v/>
      </c>
      <c r="AV6" s="84">
        <f>Выручка!AV30</f>
        <v/>
      </c>
      <c r="AW6" s="84">
        <f>Выручка!AW30</f>
        <v/>
      </c>
      <c r="AX6" s="84">
        <f>Выручка!AX30</f>
        <v/>
      </c>
      <c r="AY6" s="84">
        <f>Выручка!AY30</f>
        <v/>
      </c>
      <c r="AZ6" s="84">
        <f>Выручка!AZ30</f>
        <v/>
      </c>
      <c r="BA6" s="84">
        <f>Выручка!BA30</f>
        <v/>
      </c>
      <c r="BB6" s="84">
        <f>Выручка!BB30</f>
        <v/>
      </c>
      <c r="BC6" s="84">
        <f>Выручка!BC30</f>
        <v/>
      </c>
      <c r="BD6" s="84">
        <f>Выручка!BD30</f>
        <v/>
      </c>
      <c r="BE6" s="84">
        <f>Выручка!BE30</f>
        <v/>
      </c>
      <c r="BF6" s="84">
        <f>Выручка!BF30</f>
        <v/>
      </c>
      <c r="BG6" s="84">
        <f>Выручка!BG30</f>
        <v/>
      </c>
      <c r="BH6" s="84">
        <f>Выручка!BH30</f>
        <v/>
      </c>
      <c r="BI6" s="84">
        <f>Выручка!BI30</f>
        <v/>
      </c>
      <c r="BJ6" s="84">
        <f>Выручка!BJ30</f>
        <v/>
      </c>
      <c r="BK6" s="84">
        <f>Выручка!BK30</f>
        <v/>
      </c>
      <c r="BL6" s="84">
        <f>Выручка!BL30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/>
    <row r="8" ht="22" customHeight="1">
      <c r="A8" s="62" t="inlineStr">
        <is>
          <t xml:space="preserve">  COGS — СЕБЕСТОИМОСТЬ</t>
        </is>
      </c>
    </row>
    <row r="9">
      <c r="A9" s="42" t="inlineStr">
        <is>
          <t xml:space="preserve">    Бар/кухня: продукты и напитки (30% выручки бара)  [см. модель]</t>
        </is>
      </c>
      <c r="B9" s="43" t="inlineStr">
        <is>
          <t>млн ₽</t>
        </is>
      </c>
      <c r="C9" s="53">
        <f>SUM(BN9:BR9)</f>
        <v/>
      </c>
      <c r="D9" s="45" t="inlineStr"/>
      <c r="E9" s="53">
        <f>(Input!BN52+'Сценарии'!C$26)*E6</f>
        <v/>
      </c>
      <c r="F9" s="53">
        <f>(Input!BN52+'Сценарии'!C$26)*F6</f>
        <v/>
      </c>
      <c r="G9" s="53">
        <f>(Input!BN52+'Сценарии'!C$26)*G6</f>
        <v/>
      </c>
      <c r="H9" s="53">
        <f>(Input!BN52+'Сценарии'!C$26)*H6</f>
        <v/>
      </c>
      <c r="I9" s="53">
        <f>(Input!BN52+'Сценарии'!C$26)*I6</f>
        <v/>
      </c>
      <c r="J9" s="53">
        <f>(Input!BN52+'Сценарии'!C$26)*J6</f>
        <v/>
      </c>
      <c r="K9" s="53">
        <f>(Input!BN52+'Сценарии'!C$26)*K6</f>
        <v/>
      </c>
      <c r="L9" s="53">
        <f>(Input!BN52+'Сценарии'!C$26)*L6</f>
        <v/>
      </c>
      <c r="M9" s="53">
        <f>(Input!BN52+'Сценарии'!C$26)*M6</f>
        <v/>
      </c>
      <c r="N9" s="53">
        <f>(Input!BN52+'Сценарии'!C$26)*N6</f>
        <v/>
      </c>
      <c r="O9" s="53">
        <f>(Input!BN52+'Сценарии'!C$26)*O6</f>
        <v/>
      </c>
      <c r="P9" s="53">
        <f>(Input!BN52+'Сценарии'!C$26)*P6</f>
        <v/>
      </c>
      <c r="Q9" s="53">
        <f>(Input!BO52+'Сценарии'!D$26)*Q6</f>
        <v/>
      </c>
      <c r="R9" s="53">
        <f>(Input!BO52+'Сценарии'!D$26)*R6</f>
        <v/>
      </c>
      <c r="S9" s="53">
        <f>(Input!BO52+'Сценарии'!D$26)*S6</f>
        <v/>
      </c>
      <c r="T9" s="53">
        <f>(Input!BO52+'Сценарии'!D$26)*T6</f>
        <v/>
      </c>
      <c r="U9" s="53">
        <f>(Input!BO52+'Сценарии'!D$26)*U6</f>
        <v/>
      </c>
      <c r="V9" s="53">
        <f>(Input!BO52+'Сценарии'!D$26)*V6</f>
        <v/>
      </c>
      <c r="W9" s="53">
        <f>(Input!BO52+'Сценарии'!D$26)*W6</f>
        <v/>
      </c>
      <c r="X9" s="53">
        <f>(Input!BO52+'Сценарии'!D$26)*X6</f>
        <v/>
      </c>
      <c r="Y9" s="53">
        <f>(Input!BO52+'Сценарии'!D$26)*Y6</f>
        <v/>
      </c>
      <c r="Z9" s="53">
        <f>(Input!BO52+'Сценарии'!D$26)*Z6</f>
        <v/>
      </c>
      <c r="AA9" s="53">
        <f>(Input!BO52+'Сценарии'!D$26)*AA6</f>
        <v/>
      </c>
      <c r="AB9" s="53">
        <f>(Input!BO52+'Сценарии'!D$26)*AB6</f>
        <v/>
      </c>
      <c r="AC9" s="53">
        <f>(Input!BP52+'Сценарии'!E$26)*AC6</f>
        <v/>
      </c>
      <c r="AD9" s="53">
        <f>(Input!BP52+'Сценарии'!E$26)*AD6</f>
        <v/>
      </c>
      <c r="AE9" s="53">
        <f>(Input!BP52+'Сценарии'!E$26)*AE6</f>
        <v/>
      </c>
      <c r="AF9" s="53">
        <f>(Input!BP52+'Сценарии'!E$26)*AF6</f>
        <v/>
      </c>
      <c r="AG9" s="53">
        <f>(Input!BP52+'Сценарии'!E$26)*AG6</f>
        <v/>
      </c>
      <c r="AH9" s="53">
        <f>(Input!BP52+'Сценарии'!E$26)*AH6</f>
        <v/>
      </c>
      <c r="AI9" s="53">
        <f>(Input!BP52+'Сценарии'!E$26)*AI6</f>
        <v/>
      </c>
      <c r="AJ9" s="53">
        <f>(Input!BP52+'Сценарии'!E$26)*AJ6</f>
        <v/>
      </c>
      <c r="AK9" s="53">
        <f>(Input!BP52+'Сценарии'!E$26)*AK6</f>
        <v/>
      </c>
      <c r="AL9" s="53">
        <f>(Input!BP52+'Сценарии'!E$26)*AL6</f>
        <v/>
      </c>
      <c r="AM9" s="53">
        <f>(Input!BP52+'Сценарии'!E$26)*AM6</f>
        <v/>
      </c>
      <c r="AN9" s="53">
        <f>(Input!BP52+'Сценарии'!E$26)*AN6</f>
        <v/>
      </c>
      <c r="AO9" s="53">
        <f>(Input!BQ52+'Сценарии'!F$26)*AO6</f>
        <v/>
      </c>
      <c r="AP9" s="53">
        <f>(Input!BQ52+'Сценарии'!F$26)*AP6</f>
        <v/>
      </c>
      <c r="AQ9" s="53">
        <f>(Input!BQ52+'Сценарии'!F$26)*AQ6</f>
        <v/>
      </c>
      <c r="AR9" s="53">
        <f>(Input!BQ52+'Сценарии'!F$26)*AR6</f>
        <v/>
      </c>
      <c r="AS9" s="53">
        <f>(Input!BQ52+'Сценарии'!F$26)*AS6</f>
        <v/>
      </c>
      <c r="AT9" s="53">
        <f>(Input!BQ52+'Сценарии'!F$26)*AT6</f>
        <v/>
      </c>
      <c r="AU9" s="53">
        <f>(Input!BQ52+'Сценарии'!F$26)*AU6</f>
        <v/>
      </c>
      <c r="AV9" s="53">
        <f>(Input!BQ52+'Сценарии'!F$26)*AV6</f>
        <v/>
      </c>
      <c r="AW9" s="53">
        <f>(Input!BQ52+'Сценарии'!F$26)*AW6</f>
        <v/>
      </c>
      <c r="AX9" s="53">
        <f>(Input!BQ52+'Сценарии'!F$26)*AX6</f>
        <v/>
      </c>
      <c r="AY9" s="53">
        <f>(Input!BQ52+'Сценарии'!F$26)*AY6</f>
        <v/>
      </c>
      <c r="AZ9" s="53">
        <f>(Input!BQ52+'Сценарии'!F$26)*AZ6</f>
        <v/>
      </c>
      <c r="BA9" s="53">
        <f>(Input!BR52+'Сценарии'!G$26)*BA6</f>
        <v/>
      </c>
      <c r="BB9" s="53">
        <f>(Input!BR52+'Сценарии'!G$26)*BB6</f>
        <v/>
      </c>
      <c r="BC9" s="53">
        <f>(Input!BR52+'Сценарии'!G$26)*BC6</f>
        <v/>
      </c>
      <c r="BD9" s="53">
        <f>(Input!BR52+'Сценарии'!G$26)*BD6</f>
        <v/>
      </c>
      <c r="BE9" s="53">
        <f>(Input!BR52+'Сценарии'!G$26)*BE6</f>
        <v/>
      </c>
      <c r="BF9" s="53">
        <f>(Input!BR52+'Сценарии'!G$26)*BF6</f>
        <v/>
      </c>
      <c r="BG9" s="53">
        <f>(Input!BR52+'Сценарии'!G$26)*BG6</f>
        <v/>
      </c>
      <c r="BH9" s="53">
        <f>(Input!BR52+'Сценарии'!G$26)*BH6</f>
        <v/>
      </c>
      <c r="BI9" s="53">
        <f>(Input!BR52+'Сценарии'!G$26)*BI6</f>
        <v/>
      </c>
      <c r="BJ9" s="53">
        <f>(Input!BR52+'Сценарии'!G$26)*BJ6</f>
        <v/>
      </c>
      <c r="BK9" s="53">
        <f>(Input!BR52+'Сценарии'!G$26)*BK6</f>
        <v/>
      </c>
      <c r="BL9" s="53">
        <f>(Input!BR52+'Сценарии'!G$26)*BL6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Retail: косметика/расходники (40% retail-выручки)  [см. модель]</t>
        </is>
      </c>
      <c r="B10" s="43" t="inlineStr">
        <is>
          <t>млн ₽</t>
        </is>
      </c>
      <c r="C10" s="53">
        <f>SUM(BN10:BR10)</f>
        <v/>
      </c>
      <c r="D10" s="45" t="inlineStr"/>
      <c r="E10" s="53">
        <f>(Input!BN53+'Сценарии'!C$26)*E6</f>
        <v/>
      </c>
      <c r="F10" s="53">
        <f>(Input!BN53+'Сценарии'!C$26)*F6</f>
        <v/>
      </c>
      <c r="G10" s="53">
        <f>(Input!BN53+'Сценарии'!C$26)*G6</f>
        <v/>
      </c>
      <c r="H10" s="53">
        <f>(Input!BN53+'Сценарии'!C$26)*H6</f>
        <v/>
      </c>
      <c r="I10" s="53">
        <f>(Input!BN53+'Сценарии'!C$26)*I6</f>
        <v/>
      </c>
      <c r="J10" s="53">
        <f>(Input!BN53+'Сценарии'!C$26)*J6</f>
        <v/>
      </c>
      <c r="K10" s="53">
        <f>(Input!BN53+'Сценарии'!C$26)*K6</f>
        <v/>
      </c>
      <c r="L10" s="53">
        <f>(Input!BN53+'Сценарии'!C$26)*L6</f>
        <v/>
      </c>
      <c r="M10" s="53">
        <f>(Input!BN53+'Сценарии'!C$26)*M6</f>
        <v/>
      </c>
      <c r="N10" s="53">
        <f>(Input!BN53+'Сценарии'!C$26)*N6</f>
        <v/>
      </c>
      <c r="O10" s="53">
        <f>(Input!BN53+'Сценарии'!C$26)*O6</f>
        <v/>
      </c>
      <c r="P10" s="53">
        <f>(Input!BN53+'Сценарии'!C$26)*P6</f>
        <v/>
      </c>
      <c r="Q10" s="53">
        <f>(Input!BO53+'Сценарии'!D$26)*Q6</f>
        <v/>
      </c>
      <c r="R10" s="53">
        <f>(Input!BO53+'Сценарии'!D$26)*R6</f>
        <v/>
      </c>
      <c r="S10" s="53">
        <f>(Input!BO53+'Сценарии'!D$26)*S6</f>
        <v/>
      </c>
      <c r="T10" s="53">
        <f>(Input!BO53+'Сценарии'!D$26)*T6</f>
        <v/>
      </c>
      <c r="U10" s="53">
        <f>(Input!BO53+'Сценарии'!D$26)*U6</f>
        <v/>
      </c>
      <c r="V10" s="53">
        <f>(Input!BO53+'Сценарии'!D$26)*V6</f>
        <v/>
      </c>
      <c r="W10" s="53">
        <f>(Input!BO53+'Сценарии'!D$26)*W6</f>
        <v/>
      </c>
      <c r="X10" s="53">
        <f>(Input!BO53+'Сценарии'!D$26)*X6</f>
        <v/>
      </c>
      <c r="Y10" s="53">
        <f>(Input!BO53+'Сценарии'!D$26)*Y6</f>
        <v/>
      </c>
      <c r="Z10" s="53">
        <f>(Input!BO53+'Сценарии'!D$26)*Z6</f>
        <v/>
      </c>
      <c r="AA10" s="53">
        <f>(Input!BO53+'Сценарии'!D$26)*AA6</f>
        <v/>
      </c>
      <c r="AB10" s="53">
        <f>(Input!BO53+'Сценарии'!D$26)*AB6</f>
        <v/>
      </c>
      <c r="AC10" s="53">
        <f>(Input!BP53+'Сценарии'!E$26)*AC6</f>
        <v/>
      </c>
      <c r="AD10" s="53">
        <f>(Input!BP53+'Сценарии'!E$26)*AD6</f>
        <v/>
      </c>
      <c r="AE10" s="53">
        <f>(Input!BP53+'Сценарии'!E$26)*AE6</f>
        <v/>
      </c>
      <c r="AF10" s="53">
        <f>(Input!BP53+'Сценарии'!E$26)*AF6</f>
        <v/>
      </c>
      <c r="AG10" s="53">
        <f>(Input!BP53+'Сценарии'!E$26)*AG6</f>
        <v/>
      </c>
      <c r="AH10" s="53">
        <f>(Input!BP53+'Сценарии'!E$26)*AH6</f>
        <v/>
      </c>
      <c r="AI10" s="53">
        <f>(Input!BP53+'Сценарии'!E$26)*AI6</f>
        <v/>
      </c>
      <c r="AJ10" s="53">
        <f>(Input!BP53+'Сценарии'!E$26)*AJ6</f>
        <v/>
      </c>
      <c r="AK10" s="53">
        <f>(Input!BP53+'Сценарии'!E$26)*AK6</f>
        <v/>
      </c>
      <c r="AL10" s="53">
        <f>(Input!BP53+'Сценарии'!E$26)*AL6</f>
        <v/>
      </c>
      <c r="AM10" s="53">
        <f>(Input!BP53+'Сценарии'!E$26)*AM6</f>
        <v/>
      </c>
      <c r="AN10" s="53">
        <f>(Input!BP53+'Сценарии'!E$26)*AN6</f>
        <v/>
      </c>
      <c r="AO10" s="53">
        <f>(Input!BQ53+'Сценарии'!F$26)*AO6</f>
        <v/>
      </c>
      <c r="AP10" s="53">
        <f>(Input!BQ53+'Сценарии'!F$26)*AP6</f>
        <v/>
      </c>
      <c r="AQ10" s="53">
        <f>(Input!BQ53+'Сценарии'!F$26)*AQ6</f>
        <v/>
      </c>
      <c r="AR10" s="53">
        <f>(Input!BQ53+'Сценарии'!F$26)*AR6</f>
        <v/>
      </c>
      <c r="AS10" s="53">
        <f>(Input!BQ53+'Сценарии'!F$26)*AS6</f>
        <v/>
      </c>
      <c r="AT10" s="53">
        <f>(Input!BQ53+'Сценарии'!F$26)*AT6</f>
        <v/>
      </c>
      <c r="AU10" s="53">
        <f>(Input!BQ53+'Сценарии'!F$26)*AU6</f>
        <v/>
      </c>
      <c r="AV10" s="53">
        <f>(Input!BQ53+'Сценарии'!F$26)*AV6</f>
        <v/>
      </c>
      <c r="AW10" s="53">
        <f>(Input!BQ53+'Сценарии'!F$26)*AW6</f>
        <v/>
      </c>
      <c r="AX10" s="53">
        <f>(Input!BQ53+'Сценарии'!F$26)*AX6</f>
        <v/>
      </c>
      <c r="AY10" s="53">
        <f>(Input!BQ53+'Сценарии'!F$26)*AY6</f>
        <v/>
      </c>
      <c r="AZ10" s="53">
        <f>(Input!BQ53+'Сценарии'!F$26)*AZ6</f>
        <v/>
      </c>
      <c r="BA10" s="53">
        <f>(Input!BR53+'Сценарии'!G$26)*BA6</f>
        <v/>
      </c>
      <c r="BB10" s="53">
        <f>(Input!BR53+'Сценарии'!G$26)*BB6</f>
        <v/>
      </c>
      <c r="BC10" s="53">
        <f>(Input!BR53+'Сценарии'!G$26)*BC6</f>
        <v/>
      </c>
      <c r="BD10" s="53">
        <f>(Input!BR53+'Сценарии'!G$26)*BD6</f>
        <v/>
      </c>
      <c r="BE10" s="53">
        <f>(Input!BR53+'Сценарии'!G$26)*BE6</f>
        <v/>
      </c>
      <c r="BF10" s="53">
        <f>(Input!BR53+'Сценарии'!G$26)*BF6</f>
        <v/>
      </c>
      <c r="BG10" s="53">
        <f>(Input!BR53+'Сценарии'!G$26)*BG6</f>
        <v/>
      </c>
      <c r="BH10" s="53">
        <f>(Input!BR53+'Сценарии'!G$26)*BH6</f>
        <v/>
      </c>
      <c r="BI10" s="53">
        <f>(Input!BR53+'Сценарии'!G$26)*BI6</f>
        <v/>
      </c>
      <c r="BJ10" s="53">
        <f>(Input!BR53+'Сценарии'!G$26)*BJ6</f>
        <v/>
      </c>
      <c r="BK10" s="53">
        <f>(Input!BR53+'Сценарии'!G$26)*BK6</f>
        <v/>
      </c>
      <c r="BL10" s="53">
        <f>(Input!BR53+'Сценарии'!G$26)*BL6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42" t="inlineStr">
        <is>
          <t xml:space="preserve">    Банные расходники: веники, масла, текстиль (3% услуг)  [см. модель]</t>
        </is>
      </c>
      <c r="B11" s="43" t="inlineStr">
        <is>
          <t>млн ₽</t>
        </is>
      </c>
      <c r="C11" s="53">
        <f>SUM(BN11:BR11)</f>
        <v/>
      </c>
      <c r="D11" s="45" t="inlineStr"/>
      <c r="E11" s="53">
        <f>(Input!BN54+'Сценарии'!C$26)*E6</f>
        <v/>
      </c>
      <c r="F11" s="53">
        <f>(Input!BN54+'Сценарии'!C$26)*F6</f>
        <v/>
      </c>
      <c r="G11" s="53">
        <f>(Input!BN54+'Сценарии'!C$26)*G6</f>
        <v/>
      </c>
      <c r="H11" s="53">
        <f>(Input!BN54+'Сценарии'!C$26)*H6</f>
        <v/>
      </c>
      <c r="I11" s="53">
        <f>(Input!BN54+'Сценарии'!C$26)*I6</f>
        <v/>
      </c>
      <c r="J11" s="53">
        <f>(Input!BN54+'Сценарии'!C$26)*J6</f>
        <v/>
      </c>
      <c r="K11" s="53">
        <f>(Input!BN54+'Сценарии'!C$26)*K6</f>
        <v/>
      </c>
      <c r="L11" s="53">
        <f>(Input!BN54+'Сценарии'!C$26)*L6</f>
        <v/>
      </c>
      <c r="M11" s="53">
        <f>(Input!BN54+'Сценарии'!C$26)*M6</f>
        <v/>
      </c>
      <c r="N11" s="53">
        <f>(Input!BN54+'Сценарии'!C$26)*N6</f>
        <v/>
      </c>
      <c r="O11" s="53">
        <f>(Input!BN54+'Сценарии'!C$26)*O6</f>
        <v/>
      </c>
      <c r="P11" s="53">
        <f>(Input!BN54+'Сценарии'!C$26)*P6</f>
        <v/>
      </c>
      <c r="Q11" s="53">
        <f>(Input!BO54+'Сценарии'!D$26)*Q6</f>
        <v/>
      </c>
      <c r="R11" s="53">
        <f>(Input!BO54+'Сценарии'!D$26)*R6</f>
        <v/>
      </c>
      <c r="S11" s="53">
        <f>(Input!BO54+'Сценарии'!D$26)*S6</f>
        <v/>
      </c>
      <c r="T11" s="53">
        <f>(Input!BO54+'Сценарии'!D$26)*T6</f>
        <v/>
      </c>
      <c r="U11" s="53">
        <f>(Input!BO54+'Сценарии'!D$26)*U6</f>
        <v/>
      </c>
      <c r="V11" s="53">
        <f>(Input!BO54+'Сценарии'!D$26)*V6</f>
        <v/>
      </c>
      <c r="W11" s="53">
        <f>(Input!BO54+'Сценарии'!D$26)*W6</f>
        <v/>
      </c>
      <c r="X11" s="53">
        <f>(Input!BO54+'Сценарии'!D$26)*X6</f>
        <v/>
      </c>
      <c r="Y11" s="53">
        <f>(Input!BO54+'Сценарии'!D$26)*Y6</f>
        <v/>
      </c>
      <c r="Z11" s="53">
        <f>(Input!BO54+'Сценарии'!D$26)*Z6</f>
        <v/>
      </c>
      <c r="AA11" s="53">
        <f>(Input!BO54+'Сценарии'!D$26)*AA6</f>
        <v/>
      </c>
      <c r="AB11" s="53">
        <f>(Input!BO54+'Сценарии'!D$26)*AB6</f>
        <v/>
      </c>
      <c r="AC11" s="53">
        <f>(Input!BP54+'Сценарии'!E$26)*AC6</f>
        <v/>
      </c>
      <c r="AD11" s="53">
        <f>(Input!BP54+'Сценарии'!E$26)*AD6</f>
        <v/>
      </c>
      <c r="AE11" s="53">
        <f>(Input!BP54+'Сценарии'!E$26)*AE6</f>
        <v/>
      </c>
      <c r="AF11" s="53">
        <f>(Input!BP54+'Сценарии'!E$26)*AF6</f>
        <v/>
      </c>
      <c r="AG11" s="53">
        <f>(Input!BP54+'Сценарии'!E$26)*AG6</f>
        <v/>
      </c>
      <c r="AH11" s="53">
        <f>(Input!BP54+'Сценарии'!E$26)*AH6</f>
        <v/>
      </c>
      <c r="AI11" s="53">
        <f>(Input!BP54+'Сценарии'!E$26)*AI6</f>
        <v/>
      </c>
      <c r="AJ11" s="53">
        <f>(Input!BP54+'Сценарии'!E$26)*AJ6</f>
        <v/>
      </c>
      <c r="AK11" s="53">
        <f>(Input!BP54+'Сценарии'!E$26)*AK6</f>
        <v/>
      </c>
      <c r="AL11" s="53">
        <f>(Input!BP54+'Сценарии'!E$26)*AL6</f>
        <v/>
      </c>
      <c r="AM11" s="53">
        <f>(Input!BP54+'Сценарии'!E$26)*AM6</f>
        <v/>
      </c>
      <c r="AN11" s="53">
        <f>(Input!BP54+'Сценарии'!E$26)*AN6</f>
        <v/>
      </c>
      <c r="AO11" s="53">
        <f>(Input!BQ54+'Сценарии'!F$26)*AO6</f>
        <v/>
      </c>
      <c r="AP11" s="53">
        <f>(Input!BQ54+'Сценарии'!F$26)*AP6</f>
        <v/>
      </c>
      <c r="AQ11" s="53">
        <f>(Input!BQ54+'Сценарии'!F$26)*AQ6</f>
        <v/>
      </c>
      <c r="AR11" s="53">
        <f>(Input!BQ54+'Сценарии'!F$26)*AR6</f>
        <v/>
      </c>
      <c r="AS11" s="53">
        <f>(Input!BQ54+'Сценарии'!F$26)*AS6</f>
        <v/>
      </c>
      <c r="AT11" s="53">
        <f>(Input!BQ54+'Сценарии'!F$26)*AT6</f>
        <v/>
      </c>
      <c r="AU11" s="53">
        <f>(Input!BQ54+'Сценарии'!F$26)*AU6</f>
        <v/>
      </c>
      <c r="AV11" s="53">
        <f>(Input!BQ54+'Сценарии'!F$26)*AV6</f>
        <v/>
      </c>
      <c r="AW11" s="53">
        <f>(Input!BQ54+'Сценарии'!F$26)*AW6</f>
        <v/>
      </c>
      <c r="AX11" s="53">
        <f>(Input!BQ54+'Сценарии'!F$26)*AX6</f>
        <v/>
      </c>
      <c r="AY11" s="53">
        <f>(Input!BQ54+'Сценарии'!F$26)*AY6</f>
        <v/>
      </c>
      <c r="AZ11" s="53">
        <f>(Input!BQ54+'Сценарии'!F$26)*AZ6</f>
        <v/>
      </c>
      <c r="BA11" s="53">
        <f>(Input!BR54+'Сценарии'!G$26)*BA6</f>
        <v/>
      </c>
      <c r="BB11" s="53">
        <f>(Input!BR54+'Сценарии'!G$26)*BB6</f>
        <v/>
      </c>
      <c r="BC11" s="53">
        <f>(Input!BR54+'Сценарии'!G$26)*BC6</f>
        <v/>
      </c>
      <c r="BD11" s="53">
        <f>(Input!BR54+'Сценарии'!G$26)*BD6</f>
        <v/>
      </c>
      <c r="BE11" s="53">
        <f>(Input!BR54+'Сценарии'!G$26)*BE6</f>
        <v/>
      </c>
      <c r="BF11" s="53">
        <f>(Input!BR54+'Сценарии'!G$26)*BF6</f>
        <v/>
      </c>
      <c r="BG11" s="53">
        <f>(Input!BR54+'Сценарии'!G$26)*BG6</f>
        <v/>
      </c>
      <c r="BH11" s="53">
        <f>(Input!BR54+'Сценарии'!G$26)*BH6</f>
        <v/>
      </c>
      <c r="BI11" s="53">
        <f>(Input!BR54+'Сценарии'!G$26)*BI6</f>
        <v/>
      </c>
      <c r="BJ11" s="53">
        <f>(Input!BR54+'Сценарии'!G$26)*BJ6</f>
        <v/>
      </c>
      <c r="BK11" s="53">
        <f>(Input!BR54+'Сценарии'!G$26)*BK6</f>
        <v/>
      </c>
      <c r="BL11" s="53">
        <f>(Input!BR54+'Сценарии'!G$26)*BL6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Эквайринг (85% оплат картами × 2.5%)  [см. модель]</t>
        </is>
      </c>
      <c r="B12" s="43" t="inlineStr">
        <is>
          <t>млн ₽</t>
        </is>
      </c>
      <c r="C12" s="53">
        <f>SUM(BN12:BR12)</f>
        <v/>
      </c>
      <c r="D12" s="45" t="inlineStr"/>
      <c r="E12" s="53">
        <f>(Input!BN55+'Сценарии'!C$26)*E6</f>
        <v/>
      </c>
      <c r="F12" s="53">
        <f>(Input!BN55+'Сценарии'!C$26)*F6</f>
        <v/>
      </c>
      <c r="G12" s="53">
        <f>(Input!BN55+'Сценарии'!C$26)*G6</f>
        <v/>
      </c>
      <c r="H12" s="53">
        <f>(Input!BN55+'Сценарии'!C$26)*H6</f>
        <v/>
      </c>
      <c r="I12" s="53">
        <f>(Input!BN55+'Сценарии'!C$26)*I6</f>
        <v/>
      </c>
      <c r="J12" s="53">
        <f>(Input!BN55+'Сценарии'!C$26)*J6</f>
        <v/>
      </c>
      <c r="K12" s="53">
        <f>(Input!BN55+'Сценарии'!C$26)*K6</f>
        <v/>
      </c>
      <c r="L12" s="53">
        <f>(Input!BN55+'Сценарии'!C$26)*L6</f>
        <v/>
      </c>
      <c r="M12" s="53">
        <f>(Input!BN55+'Сценарии'!C$26)*M6</f>
        <v/>
      </c>
      <c r="N12" s="53">
        <f>(Input!BN55+'Сценарии'!C$26)*N6</f>
        <v/>
      </c>
      <c r="O12" s="53">
        <f>(Input!BN55+'Сценарии'!C$26)*O6</f>
        <v/>
      </c>
      <c r="P12" s="53">
        <f>(Input!BN55+'Сценарии'!C$26)*P6</f>
        <v/>
      </c>
      <c r="Q12" s="53">
        <f>(Input!BO55+'Сценарии'!D$26)*Q6</f>
        <v/>
      </c>
      <c r="R12" s="53">
        <f>(Input!BO55+'Сценарии'!D$26)*R6</f>
        <v/>
      </c>
      <c r="S12" s="53">
        <f>(Input!BO55+'Сценарии'!D$26)*S6</f>
        <v/>
      </c>
      <c r="T12" s="53">
        <f>(Input!BO55+'Сценарии'!D$26)*T6</f>
        <v/>
      </c>
      <c r="U12" s="53">
        <f>(Input!BO55+'Сценарии'!D$26)*U6</f>
        <v/>
      </c>
      <c r="V12" s="53">
        <f>(Input!BO55+'Сценарии'!D$26)*V6</f>
        <v/>
      </c>
      <c r="W12" s="53">
        <f>(Input!BO55+'Сценарии'!D$26)*W6</f>
        <v/>
      </c>
      <c r="X12" s="53">
        <f>(Input!BO55+'Сценарии'!D$26)*X6</f>
        <v/>
      </c>
      <c r="Y12" s="53">
        <f>(Input!BO55+'Сценарии'!D$26)*Y6</f>
        <v/>
      </c>
      <c r="Z12" s="53">
        <f>(Input!BO55+'Сценарии'!D$26)*Z6</f>
        <v/>
      </c>
      <c r="AA12" s="53">
        <f>(Input!BO55+'Сценарии'!D$26)*AA6</f>
        <v/>
      </c>
      <c r="AB12" s="53">
        <f>(Input!BO55+'Сценарии'!D$26)*AB6</f>
        <v/>
      </c>
      <c r="AC12" s="53">
        <f>(Input!BP55+'Сценарии'!E$26)*AC6</f>
        <v/>
      </c>
      <c r="AD12" s="53">
        <f>(Input!BP55+'Сценарии'!E$26)*AD6</f>
        <v/>
      </c>
      <c r="AE12" s="53">
        <f>(Input!BP55+'Сценарии'!E$26)*AE6</f>
        <v/>
      </c>
      <c r="AF12" s="53">
        <f>(Input!BP55+'Сценарии'!E$26)*AF6</f>
        <v/>
      </c>
      <c r="AG12" s="53">
        <f>(Input!BP55+'Сценарии'!E$26)*AG6</f>
        <v/>
      </c>
      <c r="AH12" s="53">
        <f>(Input!BP55+'Сценарии'!E$26)*AH6</f>
        <v/>
      </c>
      <c r="AI12" s="53">
        <f>(Input!BP55+'Сценарии'!E$26)*AI6</f>
        <v/>
      </c>
      <c r="AJ12" s="53">
        <f>(Input!BP55+'Сценарии'!E$26)*AJ6</f>
        <v/>
      </c>
      <c r="AK12" s="53">
        <f>(Input!BP55+'Сценарии'!E$26)*AK6</f>
        <v/>
      </c>
      <c r="AL12" s="53">
        <f>(Input!BP55+'Сценарии'!E$26)*AL6</f>
        <v/>
      </c>
      <c r="AM12" s="53">
        <f>(Input!BP55+'Сценарии'!E$26)*AM6</f>
        <v/>
      </c>
      <c r="AN12" s="53">
        <f>(Input!BP55+'Сценарии'!E$26)*AN6</f>
        <v/>
      </c>
      <c r="AO12" s="53">
        <f>(Input!BQ55+'Сценарии'!F$26)*AO6</f>
        <v/>
      </c>
      <c r="AP12" s="53">
        <f>(Input!BQ55+'Сценарии'!F$26)*AP6</f>
        <v/>
      </c>
      <c r="AQ12" s="53">
        <f>(Input!BQ55+'Сценарии'!F$26)*AQ6</f>
        <v/>
      </c>
      <c r="AR12" s="53">
        <f>(Input!BQ55+'Сценарии'!F$26)*AR6</f>
        <v/>
      </c>
      <c r="AS12" s="53">
        <f>(Input!BQ55+'Сценарии'!F$26)*AS6</f>
        <v/>
      </c>
      <c r="AT12" s="53">
        <f>(Input!BQ55+'Сценарии'!F$26)*AT6</f>
        <v/>
      </c>
      <c r="AU12" s="53">
        <f>(Input!BQ55+'Сценарии'!F$26)*AU6</f>
        <v/>
      </c>
      <c r="AV12" s="53">
        <f>(Input!BQ55+'Сценарии'!F$26)*AV6</f>
        <v/>
      </c>
      <c r="AW12" s="53">
        <f>(Input!BQ55+'Сценарии'!F$26)*AW6</f>
        <v/>
      </c>
      <c r="AX12" s="53">
        <f>(Input!BQ55+'Сценарии'!F$26)*AX6</f>
        <v/>
      </c>
      <c r="AY12" s="53">
        <f>(Input!BQ55+'Сценарии'!F$26)*AY6</f>
        <v/>
      </c>
      <c r="AZ12" s="53">
        <f>(Input!BQ55+'Сценарии'!F$26)*AZ6</f>
        <v/>
      </c>
      <c r="BA12" s="53">
        <f>(Input!BR55+'Сценарии'!G$26)*BA6</f>
        <v/>
      </c>
      <c r="BB12" s="53">
        <f>(Input!BR55+'Сценарии'!G$26)*BB6</f>
        <v/>
      </c>
      <c r="BC12" s="53">
        <f>(Input!BR55+'Сценарии'!G$26)*BC6</f>
        <v/>
      </c>
      <c r="BD12" s="53">
        <f>(Input!BR55+'Сценарии'!G$26)*BD6</f>
        <v/>
      </c>
      <c r="BE12" s="53">
        <f>(Input!BR55+'Сценарии'!G$26)*BE6</f>
        <v/>
      </c>
      <c r="BF12" s="53">
        <f>(Input!BR55+'Сценарии'!G$26)*BF6</f>
        <v/>
      </c>
      <c r="BG12" s="53">
        <f>(Input!BR55+'Сценарии'!G$26)*BG6</f>
        <v/>
      </c>
      <c r="BH12" s="53">
        <f>(Input!BR55+'Сценарии'!G$26)*BH6</f>
        <v/>
      </c>
      <c r="BI12" s="53">
        <f>(Input!BR55+'Сценарии'!G$26)*BI6</f>
        <v/>
      </c>
      <c r="BJ12" s="53">
        <f>(Input!BR55+'Сценарии'!G$26)*BJ6</f>
        <v/>
      </c>
      <c r="BK12" s="53">
        <f>(Input!BR55+'Сценарии'!G$26)*BK6</f>
        <v/>
      </c>
      <c r="BL12" s="53">
        <f>(Input!BR55+'Сценарии'!G$26)*BL6</f>
        <v/>
      </c>
      <c r="BN12" s="53">
        <f>SUM(E12:P12)</f>
        <v/>
      </c>
      <c r="BO12" s="53">
        <f>SUM(Q12:AB12)</f>
        <v/>
      </c>
      <c r="BP12" s="53">
        <f>SUM(AC12:AN12)</f>
        <v/>
      </c>
      <c r="BQ12" s="53">
        <f>SUM(AO12:AZ12)</f>
        <v/>
      </c>
      <c r="BR12" s="53">
        <f>SUM(BA12:BL12)</f>
        <v/>
      </c>
    </row>
    <row r="13">
      <c r="A13" s="42" t="inlineStr">
        <is>
          <t xml:space="preserve">    Коммунальные ресурсы: печи/вода/отопление (прямые)  [см. модель]</t>
        </is>
      </c>
      <c r="B13" s="43" t="inlineStr">
        <is>
          <t>млн ₽</t>
        </is>
      </c>
      <c r="C13" s="53">
        <f>SUM(BN13:BR13)</f>
        <v/>
      </c>
      <c r="D13" s="45" t="inlineStr"/>
      <c r="E13" s="53">
        <f>(Input!BN56+'Сценарии'!C$26)*E6</f>
        <v/>
      </c>
      <c r="F13" s="53">
        <f>(Input!BN56+'Сценарии'!C$26)*F6</f>
        <v/>
      </c>
      <c r="G13" s="53">
        <f>(Input!BN56+'Сценарии'!C$26)*G6</f>
        <v/>
      </c>
      <c r="H13" s="53">
        <f>(Input!BN56+'Сценарии'!C$26)*H6</f>
        <v/>
      </c>
      <c r="I13" s="53">
        <f>(Input!BN56+'Сценарии'!C$26)*I6</f>
        <v/>
      </c>
      <c r="J13" s="53">
        <f>(Input!BN56+'Сценарии'!C$26)*J6</f>
        <v/>
      </c>
      <c r="K13" s="53">
        <f>(Input!BN56+'Сценарии'!C$26)*K6</f>
        <v/>
      </c>
      <c r="L13" s="53">
        <f>(Input!BN56+'Сценарии'!C$26)*L6</f>
        <v/>
      </c>
      <c r="M13" s="53">
        <f>(Input!BN56+'Сценарии'!C$26)*M6</f>
        <v/>
      </c>
      <c r="N13" s="53">
        <f>(Input!BN56+'Сценарии'!C$26)*N6</f>
        <v/>
      </c>
      <c r="O13" s="53">
        <f>(Input!BN56+'Сценарии'!C$26)*O6</f>
        <v/>
      </c>
      <c r="P13" s="53">
        <f>(Input!BN56+'Сценарии'!C$26)*P6</f>
        <v/>
      </c>
      <c r="Q13" s="53">
        <f>(Input!BO56+'Сценарии'!D$26)*Q6</f>
        <v/>
      </c>
      <c r="R13" s="53">
        <f>(Input!BO56+'Сценарии'!D$26)*R6</f>
        <v/>
      </c>
      <c r="S13" s="53">
        <f>(Input!BO56+'Сценарии'!D$26)*S6</f>
        <v/>
      </c>
      <c r="T13" s="53">
        <f>(Input!BO56+'Сценарии'!D$26)*T6</f>
        <v/>
      </c>
      <c r="U13" s="53">
        <f>(Input!BO56+'Сценарии'!D$26)*U6</f>
        <v/>
      </c>
      <c r="V13" s="53">
        <f>(Input!BO56+'Сценарии'!D$26)*V6</f>
        <v/>
      </c>
      <c r="W13" s="53">
        <f>(Input!BO56+'Сценарии'!D$26)*W6</f>
        <v/>
      </c>
      <c r="X13" s="53">
        <f>(Input!BO56+'Сценарии'!D$26)*X6</f>
        <v/>
      </c>
      <c r="Y13" s="53">
        <f>(Input!BO56+'Сценарии'!D$26)*Y6</f>
        <v/>
      </c>
      <c r="Z13" s="53">
        <f>(Input!BO56+'Сценарии'!D$26)*Z6</f>
        <v/>
      </c>
      <c r="AA13" s="53">
        <f>(Input!BO56+'Сценарии'!D$26)*AA6</f>
        <v/>
      </c>
      <c r="AB13" s="53">
        <f>(Input!BO56+'Сценарии'!D$26)*AB6</f>
        <v/>
      </c>
      <c r="AC13" s="53">
        <f>(Input!BP56+'Сценарии'!E$26)*AC6</f>
        <v/>
      </c>
      <c r="AD13" s="53">
        <f>(Input!BP56+'Сценарии'!E$26)*AD6</f>
        <v/>
      </c>
      <c r="AE13" s="53">
        <f>(Input!BP56+'Сценарии'!E$26)*AE6</f>
        <v/>
      </c>
      <c r="AF13" s="53">
        <f>(Input!BP56+'Сценарии'!E$26)*AF6</f>
        <v/>
      </c>
      <c r="AG13" s="53">
        <f>(Input!BP56+'Сценарии'!E$26)*AG6</f>
        <v/>
      </c>
      <c r="AH13" s="53">
        <f>(Input!BP56+'Сценарии'!E$26)*AH6</f>
        <v/>
      </c>
      <c r="AI13" s="53">
        <f>(Input!BP56+'Сценарии'!E$26)*AI6</f>
        <v/>
      </c>
      <c r="AJ13" s="53">
        <f>(Input!BP56+'Сценарии'!E$26)*AJ6</f>
        <v/>
      </c>
      <c r="AK13" s="53">
        <f>(Input!BP56+'Сценарии'!E$26)*AK6</f>
        <v/>
      </c>
      <c r="AL13" s="53">
        <f>(Input!BP56+'Сценарии'!E$26)*AL6</f>
        <v/>
      </c>
      <c r="AM13" s="53">
        <f>(Input!BP56+'Сценарии'!E$26)*AM6</f>
        <v/>
      </c>
      <c r="AN13" s="53">
        <f>(Input!BP56+'Сценарии'!E$26)*AN6</f>
        <v/>
      </c>
      <c r="AO13" s="53">
        <f>(Input!BQ56+'Сценарии'!F$26)*AO6</f>
        <v/>
      </c>
      <c r="AP13" s="53">
        <f>(Input!BQ56+'Сценарии'!F$26)*AP6</f>
        <v/>
      </c>
      <c r="AQ13" s="53">
        <f>(Input!BQ56+'Сценарии'!F$26)*AQ6</f>
        <v/>
      </c>
      <c r="AR13" s="53">
        <f>(Input!BQ56+'Сценарии'!F$26)*AR6</f>
        <v/>
      </c>
      <c r="AS13" s="53">
        <f>(Input!BQ56+'Сценарии'!F$26)*AS6</f>
        <v/>
      </c>
      <c r="AT13" s="53">
        <f>(Input!BQ56+'Сценарии'!F$26)*AT6</f>
        <v/>
      </c>
      <c r="AU13" s="53">
        <f>(Input!BQ56+'Сценарии'!F$26)*AU6</f>
        <v/>
      </c>
      <c r="AV13" s="53">
        <f>(Input!BQ56+'Сценарии'!F$26)*AV6</f>
        <v/>
      </c>
      <c r="AW13" s="53">
        <f>(Input!BQ56+'Сценарии'!F$26)*AW6</f>
        <v/>
      </c>
      <c r="AX13" s="53">
        <f>(Input!BQ56+'Сценарии'!F$26)*AX6</f>
        <v/>
      </c>
      <c r="AY13" s="53">
        <f>(Input!BQ56+'Сценарии'!F$26)*AY6</f>
        <v/>
      </c>
      <c r="AZ13" s="53">
        <f>(Input!BQ56+'Сценарии'!F$26)*AZ6</f>
        <v/>
      </c>
      <c r="BA13" s="53">
        <f>(Input!BR56+'Сценарии'!G$26)*BA6</f>
        <v/>
      </c>
      <c r="BB13" s="53">
        <f>(Input!BR56+'Сценарии'!G$26)*BB6</f>
        <v/>
      </c>
      <c r="BC13" s="53">
        <f>(Input!BR56+'Сценарии'!G$26)*BC6</f>
        <v/>
      </c>
      <c r="BD13" s="53">
        <f>(Input!BR56+'Сценарии'!G$26)*BD6</f>
        <v/>
      </c>
      <c r="BE13" s="53">
        <f>(Input!BR56+'Сценарии'!G$26)*BE6</f>
        <v/>
      </c>
      <c r="BF13" s="53">
        <f>(Input!BR56+'Сценарии'!G$26)*BF6</f>
        <v/>
      </c>
      <c r="BG13" s="53">
        <f>(Input!BR56+'Сценарии'!G$26)*BG6</f>
        <v/>
      </c>
      <c r="BH13" s="53">
        <f>(Input!BR56+'Сценарии'!G$26)*BH6</f>
        <v/>
      </c>
      <c r="BI13" s="53">
        <f>(Input!BR56+'Сценарии'!G$26)*BI6</f>
        <v/>
      </c>
      <c r="BJ13" s="53">
        <f>(Input!BR56+'Сценарии'!G$26)*BJ6</f>
        <v/>
      </c>
      <c r="BK13" s="53">
        <f>(Input!BR56+'Сценарии'!G$26)*BK6</f>
        <v/>
      </c>
      <c r="BL13" s="53">
        <f>(Input!BR56+'Сценарии'!G$26)*BL6</f>
        <v/>
      </c>
      <c r="BN13" s="53">
        <f>SUM(E13:P13)</f>
        <v/>
      </c>
      <c r="BO13" s="53">
        <f>SUM(Q13:AB13)</f>
        <v/>
      </c>
      <c r="BP13" s="53">
        <f>SUM(AC13:AN13)</f>
        <v/>
      </c>
      <c r="BQ13" s="53">
        <f>SUM(AO13:AZ13)</f>
        <v/>
      </c>
      <c r="BR13" s="53">
        <f>SUM(BA13:BL13)</f>
        <v/>
      </c>
    </row>
    <row r="14">
      <c r="A14" s="42" t="inlineStr">
        <is>
          <t xml:space="preserve">    Сервис банного оборудования  [см. модель]</t>
        </is>
      </c>
      <c r="B14" s="43" t="inlineStr">
        <is>
          <t>млн ₽</t>
        </is>
      </c>
      <c r="C14" s="53">
        <f>SUM(BN14:BR14)</f>
        <v/>
      </c>
      <c r="D14" s="45" t="inlineStr"/>
      <c r="E14" s="53">
        <f>(Input!BN57+'Сценарии'!C$26)*E6</f>
        <v/>
      </c>
      <c r="F14" s="53">
        <f>(Input!BN57+'Сценарии'!C$26)*F6</f>
        <v/>
      </c>
      <c r="G14" s="53">
        <f>(Input!BN57+'Сценарии'!C$26)*G6</f>
        <v/>
      </c>
      <c r="H14" s="53">
        <f>(Input!BN57+'Сценарии'!C$26)*H6</f>
        <v/>
      </c>
      <c r="I14" s="53">
        <f>(Input!BN57+'Сценарии'!C$26)*I6</f>
        <v/>
      </c>
      <c r="J14" s="53">
        <f>(Input!BN57+'Сценарии'!C$26)*J6</f>
        <v/>
      </c>
      <c r="K14" s="53">
        <f>(Input!BN57+'Сценарии'!C$26)*K6</f>
        <v/>
      </c>
      <c r="L14" s="53">
        <f>(Input!BN57+'Сценарии'!C$26)*L6</f>
        <v/>
      </c>
      <c r="M14" s="53">
        <f>(Input!BN57+'Сценарии'!C$26)*M6</f>
        <v/>
      </c>
      <c r="N14" s="53">
        <f>(Input!BN57+'Сценарии'!C$26)*N6</f>
        <v/>
      </c>
      <c r="O14" s="53">
        <f>(Input!BN57+'Сценарии'!C$26)*O6</f>
        <v/>
      </c>
      <c r="P14" s="53">
        <f>(Input!BN57+'Сценарии'!C$26)*P6</f>
        <v/>
      </c>
      <c r="Q14" s="53">
        <f>(Input!BO57+'Сценарии'!D$26)*Q6</f>
        <v/>
      </c>
      <c r="R14" s="53">
        <f>(Input!BO57+'Сценарии'!D$26)*R6</f>
        <v/>
      </c>
      <c r="S14" s="53">
        <f>(Input!BO57+'Сценарии'!D$26)*S6</f>
        <v/>
      </c>
      <c r="T14" s="53">
        <f>(Input!BO57+'Сценарии'!D$26)*T6</f>
        <v/>
      </c>
      <c r="U14" s="53">
        <f>(Input!BO57+'Сценарии'!D$26)*U6</f>
        <v/>
      </c>
      <c r="V14" s="53">
        <f>(Input!BO57+'Сценарии'!D$26)*V6</f>
        <v/>
      </c>
      <c r="W14" s="53">
        <f>(Input!BO57+'Сценарии'!D$26)*W6</f>
        <v/>
      </c>
      <c r="X14" s="53">
        <f>(Input!BO57+'Сценарии'!D$26)*X6</f>
        <v/>
      </c>
      <c r="Y14" s="53">
        <f>(Input!BO57+'Сценарии'!D$26)*Y6</f>
        <v/>
      </c>
      <c r="Z14" s="53">
        <f>(Input!BO57+'Сценарии'!D$26)*Z6</f>
        <v/>
      </c>
      <c r="AA14" s="53">
        <f>(Input!BO57+'Сценарии'!D$26)*AA6</f>
        <v/>
      </c>
      <c r="AB14" s="53">
        <f>(Input!BO57+'Сценарии'!D$26)*AB6</f>
        <v/>
      </c>
      <c r="AC14" s="53">
        <f>(Input!BP57+'Сценарии'!E$26)*AC6</f>
        <v/>
      </c>
      <c r="AD14" s="53">
        <f>(Input!BP57+'Сценарии'!E$26)*AD6</f>
        <v/>
      </c>
      <c r="AE14" s="53">
        <f>(Input!BP57+'Сценарии'!E$26)*AE6</f>
        <v/>
      </c>
      <c r="AF14" s="53">
        <f>(Input!BP57+'Сценарии'!E$26)*AF6</f>
        <v/>
      </c>
      <c r="AG14" s="53">
        <f>(Input!BP57+'Сценарии'!E$26)*AG6</f>
        <v/>
      </c>
      <c r="AH14" s="53">
        <f>(Input!BP57+'Сценарии'!E$26)*AH6</f>
        <v/>
      </c>
      <c r="AI14" s="53">
        <f>(Input!BP57+'Сценарии'!E$26)*AI6</f>
        <v/>
      </c>
      <c r="AJ14" s="53">
        <f>(Input!BP57+'Сценарии'!E$26)*AJ6</f>
        <v/>
      </c>
      <c r="AK14" s="53">
        <f>(Input!BP57+'Сценарии'!E$26)*AK6</f>
        <v/>
      </c>
      <c r="AL14" s="53">
        <f>(Input!BP57+'Сценарии'!E$26)*AL6</f>
        <v/>
      </c>
      <c r="AM14" s="53">
        <f>(Input!BP57+'Сценарии'!E$26)*AM6</f>
        <v/>
      </c>
      <c r="AN14" s="53">
        <f>(Input!BP57+'Сценарии'!E$26)*AN6</f>
        <v/>
      </c>
      <c r="AO14" s="53">
        <f>(Input!BQ57+'Сценарии'!F$26)*AO6</f>
        <v/>
      </c>
      <c r="AP14" s="53">
        <f>(Input!BQ57+'Сценарии'!F$26)*AP6</f>
        <v/>
      </c>
      <c r="AQ14" s="53">
        <f>(Input!BQ57+'Сценарии'!F$26)*AQ6</f>
        <v/>
      </c>
      <c r="AR14" s="53">
        <f>(Input!BQ57+'Сценарии'!F$26)*AR6</f>
        <v/>
      </c>
      <c r="AS14" s="53">
        <f>(Input!BQ57+'Сценарии'!F$26)*AS6</f>
        <v/>
      </c>
      <c r="AT14" s="53">
        <f>(Input!BQ57+'Сценарии'!F$26)*AT6</f>
        <v/>
      </c>
      <c r="AU14" s="53">
        <f>(Input!BQ57+'Сценарии'!F$26)*AU6</f>
        <v/>
      </c>
      <c r="AV14" s="53">
        <f>(Input!BQ57+'Сценарии'!F$26)*AV6</f>
        <v/>
      </c>
      <c r="AW14" s="53">
        <f>(Input!BQ57+'Сценарии'!F$26)*AW6</f>
        <v/>
      </c>
      <c r="AX14" s="53">
        <f>(Input!BQ57+'Сценарии'!F$26)*AX6</f>
        <v/>
      </c>
      <c r="AY14" s="53">
        <f>(Input!BQ57+'Сценарии'!F$26)*AY6</f>
        <v/>
      </c>
      <c r="AZ14" s="53">
        <f>(Input!BQ57+'Сценарии'!F$26)*AZ6</f>
        <v/>
      </c>
      <c r="BA14" s="53">
        <f>(Input!BR57+'Сценарии'!G$26)*BA6</f>
        <v/>
      </c>
      <c r="BB14" s="53">
        <f>(Input!BR57+'Сценарии'!G$26)*BB6</f>
        <v/>
      </c>
      <c r="BC14" s="53">
        <f>(Input!BR57+'Сценарии'!G$26)*BC6</f>
        <v/>
      </c>
      <c r="BD14" s="53">
        <f>(Input!BR57+'Сценарии'!G$26)*BD6</f>
        <v/>
      </c>
      <c r="BE14" s="53">
        <f>(Input!BR57+'Сценарии'!G$26)*BE6</f>
        <v/>
      </c>
      <c r="BF14" s="53">
        <f>(Input!BR57+'Сценарии'!G$26)*BF6</f>
        <v/>
      </c>
      <c r="BG14" s="53">
        <f>(Input!BR57+'Сценарии'!G$26)*BG6</f>
        <v/>
      </c>
      <c r="BH14" s="53">
        <f>(Input!BR57+'Сценарии'!G$26)*BH6</f>
        <v/>
      </c>
      <c r="BI14" s="53">
        <f>(Input!BR57+'Сценарии'!G$26)*BI6</f>
        <v/>
      </c>
      <c r="BJ14" s="53">
        <f>(Input!BR57+'Сценарии'!G$26)*BJ6</f>
        <v/>
      </c>
      <c r="BK14" s="53">
        <f>(Input!BR57+'Сценарии'!G$26)*BK6</f>
        <v/>
      </c>
      <c r="BL14" s="53">
        <f>(Input!BR57+'Сценарии'!G$26)*BL6</f>
        <v/>
      </c>
      <c r="BN14" s="53">
        <f>SUM(E14:P14)</f>
        <v/>
      </c>
      <c r="BO14" s="53">
        <f>SUM(Q14:AB14)</f>
        <v/>
      </c>
      <c r="BP14" s="53">
        <f>SUM(AC14:AN14)</f>
        <v/>
      </c>
      <c r="BQ14" s="53">
        <f>SUM(AO14:AZ14)</f>
        <v/>
      </c>
      <c r="BR14" s="53">
        <f>SUM(BA14:BL14)</f>
        <v/>
      </c>
    </row>
    <row r="15">
      <c r="A15" s="80" t="inlineStr">
        <is>
          <t>ИТОГО COGS (млн ₽)</t>
        </is>
      </c>
      <c r="B15" s="81" t="inlineStr">
        <is>
          <t>млн ₽</t>
        </is>
      </c>
      <c r="C15" s="82">
        <f>SUM(BN15:BR15)</f>
        <v/>
      </c>
      <c r="D15" s="45" t="inlineStr"/>
      <c r="E15" s="82">
        <f>E9+E10+E11+E12+E13+E14</f>
        <v/>
      </c>
      <c r="F15" s="82">
        <f>F9+F10+F11+F12+F13+F14</f>
        <v/>
      </c>
      <c r="G15" s="82">
        <f>G9+G10+G11+G12+G13+G14</f>
        <v/>
      </c>
      <c r="H15" s="82">
        <f>H9+H10+H11+H12+H13+H14</f>
        <v/>
      </c>
      <c r="I15" s="82">
        <f>I9+I10+I11+I12+I13+I14</f>
        <v/>
      </c>
      <c r="J15" s="82">
        <f>J9+J10+J11+J12+J13+J14</f>
        <v/>
      </c>
      <c r="K15" s="82">
        <f>K9+K10+K11+K12+K13+K14</f>
        <v/>
      </c>
      <c r="L15" s="82">
        <f>L9+L10+L11+L12+L13+L14</f>
        <v/>
      </c>
      <c r="M15" s="82">
        <f>M9+M10+M11+M12+M13+M14</f>
        <v/>
      </c>
      <c r="N15" s="82">
        <f>N9+N10+N11+N12+N13+N14</f>
        <v/>
      </c>
      <c r="O15" s="82">
        <f>O9+O10+O11+O12+O13+O14</f>
        <v/>
      </c>
      <c r="P15" s="82">
        <f>P9+P10+P11+P12+P13+P14</f>
        <v/>
      </c>
      <c r="Q15" s="82">
        <f>Q9+Q10+Q11+Q12+Q13+Q14</f>
        <v/>
      </c>
      <c r="R15" s="82">
        <f>R9+R10+R11+R12+R13+R14</f>
        <v/>
      </c>
      <c r="S15" s="82">
        <f>S9+S10+S11+S12+S13+S14</f>
        <v/>
      </c>
      <c r="T15" s="82">
        <f>T9+T10+T11+T12+T13+T14</f>
        <v/>
      </c>
      <c r="U15" s="82">
        <f>U9+U10+U11+U12+U13+U14</f>
        <v/>
      </c>
      <c r="V15" s="82">
        <f>V9+V10+V11+V12+V13+V14</f>
        <v/>
      </c>
      <c r="W15" s="82">
        <f>W9+W10+W11+W12+W13+W14</f>
        <v/>
      </c>
      <c r="X15" s="82">
        <f>X9+X10+X11+X12+X13+X14</f>
        <v/>
      </c>
      <c r="Y15" s="82">
        <f>Y9+Y10+Y11+Y12+Y13+Y14</f>
        <v/>
      </c>
      <c r="Z15" s="82">
        <f>Z9+Z10+Z11+Z12+Z13+Z14</f>
        <v/>
      </c>
      <c r="AA15" s="82">
        <f>AA9+AA10+AA11+AA12+AA13+AA14</f>
        <v/>
      </c>
      <c r="AB15" s="82">
        <f>AB9+AB10+AB11+AB12+AB13+AB14</f>
        <v/>
      </c>
      <c r="AC15" s="82">
        <f>AC9+AC10+AC11+AC12+AC13+AC14</f>
        <v/>
      </c>
      <c r="AD15" s="82">
        <f>AD9+AD10+AD11+AD12+AD13+AD14</f>
        <v/>
      </c>
      <c r="AE15" s="82">
        <f>AE9+AE10+AE11+AE12+AE13+AE14</f>
        <v/>
      </c>
      <c r="AF15" s="82">
        <f>AF9+AF10+AF11+AF12+AF13+AF14</f>
        <v/>
      </c>
      <c r="AG15" s="82">
        <f>AG9+AG10+AG11+AG12+AG13+AG14</f>
        <v/>
      </c>
      <c r="AH15" s="82">
        <f>AH9+AH10+AH11+AH12+AH13+AH14</f>
        <v/>
      </c>
      <c r="AI15" s="82">
        <f>AI9+AI10+AI11+AI12+AI13+AI14</f>
        <v/>
      </c>
      <c r="AJ15" s="82">
        <f>AJ9+AJ10+AJ11+AJ12+AJ13+AJ14</f>
        <v/>
      </c>
      <c r="AK15" s="82">
        <f>AK9+AK10+AK11+AK12+AK13+AK14</f>
        <v/>
      </c>
      <c r="AL15" s="82">
        <f>AL9+AL10+AL11+AL12+AL13+AL14</f>
        <v/>
      </c>
      <c r="AM15" s="82">
        <f>AM9+AM10+AM11+AM12+AM13+AM14</f>
        <v/>
      </c>
      <c r="AN15" s="82">
        <f>AN9+AN10+AN11+AN12+AN13+AN14</f>
        <v/>
      </c>
      <c r="AO15" s="82">
        <f>AO9+AO10+AO11+AO12+AO13+AO14</f>
        <v/>
      </c>
      <c r="AP15" s="82">
        <f>AP9+AP10+AP11+AP12+AP13+AP14</f>
        <v/>
      </c>
      <c r="AQ15" s="82">
        <f>AQ9+AQ10+AQ11+AQ12+AQ13+AQ14</f>
        <v/>
      </c>
      <c r="AR15" s="82">
        <f>AR9+AR10+AR11+AR12+AR13+AR14</f>
        <v/>
      </c>
      <c r="AS15" s="82">
        <f>AS9+AS10+AS11+AS12+AS13+AS14</f>
        <v/>
      </c>
      <c r="AT15" s="82">
        <f>AT9+AT10+AT11+AT12+AT13+AT14</f>
        <v/>
      </c>
      <c r="AU15" s="82">
        <f>AU9+AU10+AU11+AU12+AU13+AU14</f>
        <v/>
      </c>
      <c r="AV15" s="82">
        <f>AV9+AV10+AV11+AV12+AV13+AV14</f>
        <v/>
      </c>
      <c r="AW15" s="82">
        <f>AW9+AW10+AW11+AW12+AW13+AW14</f>
        <v/>
      </c>
      <c r="AX15" s="82">
        <f>AX9+AX10+AX11+AX12+AX13+AX14</f>
        <v/>
      </c>
      <c r="AY15" s="82">
        <f>AY9+AY10+AY11+AY12+AY13+AY14</f>
        <v/>
      </c>
      <c r="AZ15" s="82">
        <f>AZ9+AZ10+AZ11+AZ12+AZ13+AZ14</f>
        <v/>
      </c>
      <c r="BA15" s="82">
        <f>BA9+BA10+BA11+BA12+BA13+BA14</f>
        <v/>
      </c>
      <c r="BB15" s="82">
        <f>BB9+BB10+BB11+BB12+BB13+BB14</f>
        <v/>
      </c>
      <c r="BC15" s="82">
        <f>BC9+BC10+BC11+BC12+BC13+BC14</f>
        <v/>
      </c>
      <c r="BD15" s="82">
        <f>BD9+BD10+BD11+BD12+BD13+BD14</f>
        <v/>
      </c>
      <c r="BE15" s="82">
        <f>BE9+BE10+BE11+BE12+BE13+BE14</f>
        <v/>
      </c>
      <c r="BF15" s="82">
        <f>BF9+BF10+BF11+BF12+BF13+BF14</f>
        <v/>
      </c>
      <c r="BG15" s="82">
        <f>BG9+BG10+BG11+BG12+BG13+BG14</f>
        <v/>
      </c>
      <c r="BH15" s="82">
        <f>BH9+BH10+BH11+BH12+BH13+BH14</f>
        <v/>
      </c>
      <c r="BI15" s="82">
        <f>BI9+BI10+BI11+BI12+BI13+BI14</f>
        <v/>
      </c>
      <c r="BJ15" s="82">
        <f>BJ9+BJ10+BJ11+BJ12+BJ13+BJ14</f>
        <v/>
      </c>
      <c r="BK15" s="82">
        <f>BK9+BK10+BK11+BK12+BK13+BK14</f>
        <v/>
      </c>
      <c r="BL15" s="82">
        <f>BL9+BL10+BL11+BL12+BL13+BL14</f>
        <v/>
      </c>
      <c r="BN15" s="82">
        <f>SUM(E15:P15)</f>
        <v/>
      </c>
      <c r="BO15" s="82">
        <f>SUM(Q15:AB15)</f>
        <v/>
      </c>
      <c r="BP15" s="82">
        <f>SUM(AC15:AN15)</f>
        <v/>
      </c>
      <c r="BQ15" s="82">
        <f>SUM(AO15:AZ15)</f>
        <v/>
      </c>
      <c r="BR15" s="82">
        <f>SUM(BA15:BL15)</f>
        <v/>
      </c>
    </row>
    <row r="16"/>
    <row r="17" ht="22" customHeight="1">
      <c r="A17" s="41" t="inlineStr">
        <is>
          <t xml:space="preserve">  ВАЛОВАЯ ПРИБЫЛЬ</t>
        </is>
      </c>
    </row>
    <row r="18">
      <c r="A18" s="51" t="inlineStr">
        <is>
          <t>Gross Profit (млн ₽)</t>
        </is>
      </c>
      <c r="B18" s="52" t="inlineStr">
        <is>
          <t>млн ₽</t>
        </is>
      </c>
      <c r="C18" s="53">
        <f>SUM(BN18:BR18)</f>
        <v/>
      </c>
      <c r="D18" s="45" t="inlineStr"/>
      <c r="E18" s="67">
        <f>E6-E15</f>
        <v/>
      </c>
      <c r="F18" s="67">
        <f>F6-F15</f>
        <v/>
      </c>
      <c r="G18" s="67">
        <f>G6-G15</f>
        <v/>
      </c>
      <c r="H18" s="67">
        <f>H6-H15</f>
        <v/>
      </c>
      <c r="I18" s="67">
        <f>I6-I15</f>
        <v/>
      </c>
      <c r="J18" s="67">
        <f>J6-J15</f>
        <v/>
      </c>
      <c r="K18" s="67">
        <f>K6-K15</f>
        <v/>
      </c>
      <c r="L18" s="67">
        <f>L6-L15</f>
        <v/>
      </c>
      <c r="M18" s="67">
        <f>M6-M15</f>
        <v/>
      </c>
      <c r="N18" s="67">
        <f>N6-N15</f>
        <v/>
      </c>
      <c r="O18" s="67">
        <f>O6-O15</f>
        <v/>
      </c>
      <c r="P18" s="67">
        <f>P6-P15</f>
        <v/>
      </c>
      <c r="Q18" s="67">
        <f>Q6-Q15</f>
        <v/>
      </c>
      <c r="R18" s="67">
        <f>R6-R15</f>
        <v/>
      </c>
      <c r="S18" s="67">
        <f>S6-S15</f>
        <v/>
      </c>
      <c r="T18" s="67">
        <f>T6-T15</f>
        <v/>
      </c>
      <c r="U18" s="67">
        <f>U6-U15</f>
        <v/>
      </c>
      <c r="V18" s="67">
        <f>V6-V15</f>
        <v/>
      </c>
      <c r="W18" s="67">
        <f>W6-W15</f>
        <v/>
      </c>
      <c r="X18" s="67">
        <f>X6-X15</f>
        <v/>
      </c>
      <c r="Y18" s="67">
        <f>Y6-Y15</f>
        <v/>
      </c>
      <c r="Z18" s="67">
        <f>Z6-Z15</f>
        <v/>
      </c>
      <c r="AA18" s="67">
        <f>AA6-AA15</f>
        <v/>
      </c>
      <c r="AB18" s="67">
        <f>AB6-AB15</f>
        <v/>
      </c>
      <c r="AC18" s="67">
        <f>AC6-AC15</f>
        <v/>
      </c>
      <c r="AD18" s="67">
        <f>AD6-AD15</f>
        <v/>
      </c>
      <c r="AE18" s="67">
        <f>AE6-AE15</f>
        <v/>
      </c>
      <c r="AF18" s="67">
        <f>AF6-AF15</f>
        <v/>
      </c>
      <c r="AG18" s="67">
        <f>AG6-AG15</f>
        <v/>
      </c>
      <c r="AH18" s="67">
        <f>AH6-AH15</f>
        <v/>
      </c>
      <c r="AI18" s="67">
        <f>AI6-AI15</f>
        <v/>
      </c>
      <c r="AJ18" s="67">
        <f>AJ6-AJ15</f>
        <v/>
      </c>
      <c r="AK18" s="67">
        <f>AK6-AK15</f>
        <v/>
      </c>
      <c r="AL18" s="67">
        <f>AL6-AL15</f>
        <v/>
      </c>
      <c r="AM18" s="67">
        <f>AM6-AM15</f>
        <v/>
      </c>
      <c r="AN18" s="67">
        <f>AN6-AN15</f>
        <v/>
      </c>
      <c r="AO18" s="67">
        <f>AO6-AO15</f>
        <v/>
      </c>
      <c r="AP18" s="67">
        <f>AP6-AP15</f>
        <v/>
      </c>
      <c r="AQ18" s="67">
        <f>AQ6-AQ15</f>
        <v/>
      </c>
      <c r="AR18" s="67">
        <f>AR6-AR15</f>
        <v/>
      </c>
      <c r="AS18" s="67">
        <f>AS6-AS15</f>
        <v/>
      </c>
      <c r="AT18" s="67">
        <f>AT6-AT15</f>
        <v/>
      </c>
      <c r="AU18" s="67">
        <f>AU6-AU15</f>
        <v/>
      </c>
      <c r="AV18" s="67">
        <f>AV6-AV15</f>
        <v/>
      </c>
      <c r="AW18" s="67">
        <f>AW6-AW15</f>
        <v/>
      </c>
      <c r="AX18" s="67">
        <f>AX6-AX15</f>
        <v/>
      </c>
      <c r="AY18" s="67">
        <f>AY6-AY15</f>
        <v/>
      </c>
      <c r="AZ18" s="67">
        <f>AZ6-AZ15</f>
        <v/>
      </c>
      <c r="BA18" s="67">
        <f>BA6-BA15</f>
        <v/>
      </c>
      <c r="BB18" s="67">
        <f>BB6-BB15</f>
        <v/>
      </c>
      <c r="BC18" s="67">
        <f>BC6-BC15</f>
        <v/>
      </c>
      <c r="BD18" s="67">
        <f>BD6-BD15</f>
        <v/>
      </c>
      <c r="BE18" s="67">
        <f>BE6-BE15</f>
        <v/>
      </c>
      <c r="BF18" s="67">
        <f>BF6-BF15</f>
        <v/>
      </c>
      <c r="BG18" s="67">
        <f>BG6-BG15</f>
        <v/>
      </c>
      <c r="BH18" s="67">
        <f>BH6-BH15</f>
        <v/>
      </c>
      <c r="BI18" s="67">
        <f>BI6-BI15</f>
        <v/>
      </c>
      <c r="BJ18" s="67">
        <f>BJ6-BJ15</f>
        <v/>
      </c>
      <c r="BK18" s="67">
        <f>BK6-BK15</f>
        <v/>
      </c>
      <c r="BL18" s="67">
        <f>BL6-BL15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>
      <c r="A19" s="42" t="inlineStr">
        <is>
          <t>Gross Margin %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83">
        <f>IFERROR(E18/E6,0)</f>
        <v/>
      </c>
      <c r="F19" s="83">
        <f>IFERROR(F18/F6,0)</f>
        <v/>
      </c>
      <c r="G19" s="83">
        <f>IFERROR(G18/G6,0)</f>
        <v/>
      </c>
      <c r="H19" s="83">
        <f>IFERROR(H18/H6,0)</f>
        <v/>
      </c>
      <c r="I19" s="83">
        <f>IFERROR(I18/I6,0)</f>
        <v/>
      </c>
      <c r="J19" s="83">
        <f>IFERROR(J18/J6,0)</f>
        <v/>
      </c>
      <c r="K19" s="83">
        <f>IFERROR(K18/K6,0)</f>
        <v/>
      </c>
      <c r="L19" s="83">
        <f>IFERROR(L18/L6,0)</f>
        <v/>
      </c>
      <c r="M19" s="83">
        <f>IFERROR(M18/M6,0)</f>
        <v/>
      </c>
      <c r="N19" s="83">
        <f>IFERROR(N18/N6,0)</f>
        <v/>
      </c>
      <c r="O19" s="83">
        <f>IFERROR(O18/O6,0)</f>
        <v/>
      </c>
      <c r="P19" s="83">
        <f>IFERROR(P18/P6,0)</f>
        <v/>
      </c>
      <c r="Q19" s="83">
        <f>IFERROR(Q18/Q6,0)</f>
        <v/>
      </c>
      <c r="R19" s="83">
        <f>IFERROR(R18/R6,0)</f>
        <v/>
      </c>
      <c r="S19" s="83">
        <f>IFERROR(S18/S6,0)</f>
        <v/>
      </c>
      <c r="T19" s="83">
        <f>IFERROR(T18/T6,0)</f>
        <v/>
      </c>
      <c r="U19" s="83">
        <f>IFERROR(U18/U6,0)</f>
        <v/>
      </c>
      <c r="V19" s="83">
        <f>IFERROR(V18/V6,0)</f>
        <v/>
      </c>
      <c r="W19" s="83">
        <f>IFERROR(W18/W6,0)</f>
        <v/>
      </c>
      <c r="X19" s="83">
        <f>IFERROR(X18/X6,0)</f>
        <v/>
      </c>
      <c r="Y19" s="83">
        <f>IFERROR(Y18/Y6,0)</f>
        <v/>
      </c>
      <c r="Z19" s="83">
        <f>IFERROR(Z18/Z6,0)</f>
        <v/>
      </c>
      <c r="AA19" s="83">
        <f>IFERROR(AA18/AA6,0)</f>
        <v/>
      </c>
      <c r="AB19" s="83">
        <f>IFERROR(AB18/AB6,0)</f>
        <v/>
      </c>
      <c r="AC19" s="83">
        <f>IFERROR(AC18/AC6,0)</f>
        <v/>
      </c>
      <c r="AD19" s="83">
        <f>IFERROR(AD18/AD6,0)</f>
        <v/>
      </c>
      <c r="AE19" s="83">
        <f>IFERROR(AE18/AE6,0)</f>
        <v/>
      </c>
      <c r="AF19" s="83">
        <f>IFERROR(AF18/AF6,0)</f>
        <v/>
      </c>
      <c r="AG19" s="83">
        <f>IFERROR(AG18/AG6,0)</f>
        <v/>
      </c>
      <c r="AH19" s="83">
        <f>IFERROR(AH18/AH6,0)</f>
        <v/>
      </c>
      <c r="AI19" s="83">
        <f>IFERROR(AI18/AI6,0)</f>
        <v/>
      </c>
      <c r="AJ19" s="83">
        <f>IFERROR(AJ18/AJ6,0)</f>
        <v/>
      </c>
      <c r="AK19" s="83">
        <f>IFERROR(AK18/AK6,0)</f>
        <v/>
      </c>
      <c r="AL19" s="83">
        <f>IFERROR(AL18/AL6,0)</f>
        <v/>
      </c>
      <c r="AM19" s="83">
        <f>IFERROR(AM18/AM6,0)</f>
        <v/>
      </c>
      <c r="AN19" s="83">
        <f>IFERROR(AN18/AN6,0)</f>
        <v/>
      </c>
      <c r="AO19" s="83">
        <f>IFERROR(AO18/AO6,0)</f>
        <v/>
      </c>
      <c r="AP19" s="83">
        <f>IFERROR(AP18/AP6,0)</f>
        <v/>
      </c>
      <c r="AQ19" s="83">
        <f>IFERROR(AQ18/AQ6,0)</f>
        <v/>
      </c>
      <c r="AR19" s="83">
        <f>IFERROR(AR18/AR6,0)</f>
        <v/>
      </c>
      <c r="AS19" s="83">
        <f>IFERROR(AS18/AS6,0)</f>
        <v/>
      </c>
      <c r="AT19" s="83">
        <f>IFERROR(AT18/AT6,0)</f>
        <v/>
      </c>
      <c r="AU19" s="83">
        <f>IFERROR(AU18/AU6,0)</f>
        <v/>
      </c>
      <c r="AV19" s="83">
        <f>IFERROR(AV18/AV6,0)</f>
        <v/>
      </c>
      <c r="AW19" s="83">
        <f>IFERROR(AW18/AW6,0)</f>
        <v/>
      </c>
      <c r="AX19" s="83">
        <f>IFERROR(AX18/AX6,0)</f>
        <v/>
      </c>
      <c r="AY19" s="83">
        <f>IFERROR(AY18/AY6,0)</f>
        <v/>
      </c>
      <c r="AZ19" s="83">
        <f>IFERROR(AZ18/AZ6,0)</f>
        <v/>
      </c>
      <c r="BA19" s="83">
        <f>IFERROR(BA18/BA6,0)</f>
        <v/>
      </c>
      <c r="BB19" s="83">
        <f>IFERROR(BB18/BB6,0)</f>
        <v/>
      </c>
      <c r="BC19" s="83">
        <f>IFERROR(BC18/BC6,0)</f>
        <v/>
      </c>
      <c r="BD19" s="83">
        <f>IFERROR(BD18/BD6,0)</f>
        <v/>
      </c>
      <c r="BE19" s="83">
        <f>IFERROR(BE18/BE6,0)</f>
        <v/>
      </c>
      <c r="BF19" s="83">
        <f>IFERROR(BF18/BF6,0)</f>
        <v/>
      </c>
      <c r="BG19" s="83">
        <f>IFERROR(BG18/BG6,0)</f>
        <v/>
      </c>
      <c r="BH19" s="83">
        <f>IFERROR(BH18/BH6,0)</f>
        <v/>
      </c>
      <c r="BI19" s="83">
        <f>IFERROR(BI18/BI6,0)</f>
        <v/>
      </c>
      <c r="BJ19" s="83">
        <f>IFERROR(BJ18/BJ6,0)</f>
        <v/>
      </c>
      <c r="BK19" s="83">
        <f>IFERROR(BK18/BK6,0)</f>
        <v/>
      </c>
      <c r="BL19" s="83">
        <f>IFERROR(BL18/BL6,0)</f>
        <v/>
      </c>
      <c r="BN19" s="83">
        <f>IFERROR(BN18/BN6,0)</f>
        <v/>
      </c>
      <c r="BO19" s="83">
        <f>IFERROR(BO18/BO6,0)</f>
        <v/>
      </c>
      <c r="BP19" s="83">
        <f>IFERROR(BP18/BP6,0)</f>
        <v/>
      </c>
      <c r="BQ19" s="83">
        <f>IFERROR(BQ18/BQ6,0)</f>
        <v/>
      </c>
      <c r="BR19" s="83">
        <f>IFERROR(BR18/BR6,0)</f>
        <v/>
      </c>
    </row>
    <row r="20"/>
    <row r="21" ht="22" customHeight="1">
      <c r="A21" s="62" t="inlineStr">
        <is>
          <t xml:space="preserve">  SG&amp;A — ОПЕРАЦИОННЫЕ РАСХОДЫ</t>
        </is>
      </c>
    </row>
    <row r="22">
      <c r="A22" s="42" t="inlineStr">
        <is>
          <t xml:space="preserve">    ФОТ + соц.взносы 32% (2-сменный штат ~50 чел)  [см. модель]</t>
        </is>
      </c>
      <c r="B22" s="43" t="inlineStr">
        <is>
          <t>млн ₽</t>
        </is>
      </c>
      <c r="C22" s="53">
        <f>SUM(BN22:BR22)</f>
        <v/>
      </c>
      <c r="D22" s="45" t="inlineStr"/>
      <c r="E22" s="53">
        <f>Input!BN60*BN6/12</f>
        <v/>
      </c>
      <c r="F22" s="53">
        <f>Input!BN60*BN6/12</f>
        <v/>
      </c>
      <c r="G22" s="53">
        <f>Input!BN60*BN6/12</f>
        <v/>
      </c>
      <c r="H22" s="53">
        <f>Input!BN60*BN6/12</f>
        <v/>
      </c>
      <c r="I22" s="53">
        <f>Input!BN60*BN6/12</f>
        <v/>
      </c>
      <c r="J22" s="53">
        <f>Input!BN60*BN6/12</f>
        <v/>
      </c>
      <c r="K22" s="53">
        <f>Input!BN60*BN6/12</f>
        <v/>
      </c>
      <c r="L22" s="53">
        <f>Input!BN60*BN6/12</f>
        <v/>
      </c>
      <c r="M22" s="53">
        <f>Input!BN60*BN6/12</f>
        <v/>
      </c>
      <c r="N22" s="53">
        <f>Input!BN60*BN6/12</f>
        <v/>
      </c>
      <c r="O22" s="53">
        <f>Input!BN60*BN6/12</f>
        <v/>
      </c>
      <c r="P22" s="53">
        <f>Input!BN60*BN6/12</f>
        <v/>
      </c>
      <c r="Q22" s="53">
        <f>Input!BO60*BO6/12</f>
        <v/>
      </c>
      <c r="R22" s="53">
        <f>Input!BO60*BO6/12</f>
        <v/>
      </c>
      <c r="S22" s="53">
        <f>Input!BO60*BO6/12</f>
        <v/>
      </c>
      <c r="T22" s="53">
        <f>Input!BO60*BO6/12</f>
        <v/>
      </c>
      <c r="U22" s="53">
        <f>Input!BO60*BO6/12</f>
        <v/>
      </c>
      <c r="V22" s="53">
        <f>Input!BO60*BO6/12</f>
        <v/>
      </c>
      <c r="W22" s="53">
        <f>Input!BO60*BO6/12</f>
        <v/>
      </c>
      <c r="X22" s="53">
        <f>Input!BO60*BO6/12</f>
        <v/>
      </c>
      <c r="Y22" s="53">
        <f>Input!BO60*BO6/12</f>
        <v/>
      </c>
      <c r="Z22" s="53">
        <f>Input!BO60*BO6/12</f>
        <v/>
      </c>
      <c r="AA22" s="53">
        <f>Input!BO60*BO6/12</f>
        <v/>
      </c>
      <c r="AB22" s="53">
        <f>Input!BO60*BO6/12</f>
        <v/>
      </c>
      <c r="AC22" s="53">
        <f>Input!BP60*BP6/12</f>
        <v/>
      </c>
      <c r="AD22" s="53">
        <f>Input!BP60*BP6/12</f>
        <v/>
      </c>
      <c r="AE22" s="53">
        <f>Input!BP60*BP6/12</f>
        <v/>
      </c>
      <c r="AF22" s="53">
        <f>Input!BP60*BP6/12</f>
        <v/>
      </c>
      <c r="AG22" s="53">
        <f>Input!BP60*BP6/12</f>
        <v/>
      </c>
      <c r="AH22" s="53">
        <f>Input!BP60*BP6/12</f>
        <v/>
      </c>
      <c r="AI22" s="53">
        <f>Input!BP60*BP6/12</f>
        <v/>
      </c>
      <c r="AJ22" s="53">
        <f>Input!BP60*BP6/12</f>
        <v/>
      </c>
      <c r="AK22" s="53">
        <f>Input!BP60*BP6/12</f>
        <v/>
      </c>
      <c r="AL22" s="53">
        <f>Input!BP60*BP6/12</f>
        <v/>
      </c>
      <c r="AM22" s="53">
        <f>Input!BP60*BP6/12</f>
        <v/>
      </c>
      <c r="AN22" s="53">
        <f>Input!BP60*BP6/12</f>
        <v/>
      </c>
      <c r="AO22" s="53">
        <f>Input!BQ60*BQ6/12</f>
        <v/>
      </c>
      <c r="AP22" s="53">
        <f>Input!BQ60*BQ6/12</f>
        <v/>
      </c>
      <c r="AQ22" s="53">
        <f>Input!BQ60*BQ6/12</f>
        <v/>
      </c>
      <c r="AR22" s="53">
        <f>Input!BQ60*BQ6/12</f>
        <v/>
      </c>
      <c r="AS22" s="53">
        <f>Input!BQ60*BQ6/12</f>
        <v/>
      </c>
      <c r="AT22" s="53">
        <f>Input!BQ60*BQ6/12</f>
        <v/>
      </c>
      <c r="AU22" s="53">
        <f>Input!BQ60*BQ6/12</f>
        <v/>
      </c>
      <c r="AV22" s="53">
        <f>Input!BQ60*BQ6/12</f>
        <v/>
      </c>
      <c r="AW22" s="53">
        <f>Input!BQ60*BQ6/12</f>
        <v/>
      </c>
      <c r="AX22" s="53">
        <f>Input!BQ60*BQ6/12</f>
        <v/>
      </c>
      <c r="AY22" s="53">
        <f>Input!BQ60*BQ6/12</f>
        <v/>
      </c>
      <c r="AZ22" s="53">
        <f>Input!BQ60*BQ6/12</f>
        <v/>
      </c>
      <c r="BA22" s="53">
        <f>Input!BR60*BR6/12</f>
        <v/>
      </c>
      <c r="BB22" s="53">
        <f>Input!BR60*BR6/12</f>
        <v/>
      </c>
      <c r="BC22" s="53">
        <f>Input!BR60*BR6/12</f>
        <v/>
      </c>
      <c r="BD22" s="53">
        <f>Input!BR60*BR6/12</f>
        <v/>
      </c>
      <c r="BE22" s="53">
        <f>Input!BR60*BR6/12</f>
        <v/>
      </c>
      <c r="BF22" s="53">
        <f>Input!BR60*BR6/12</f>
        <v/>
      </c>
      <c r="BG22" s="53">
        <f>Input!BR60*BR6/12</f>
        <v/>
      </c>
      <c r="BH22" s="53">
        <f>Input!BR60*BR6/12</f>
        <v/>
      </c>
      <c r="BI22" s="53">
        <f>Input!BR60*BR6/12</f>
        <v/>
      </c>
      <c r="BJ22" s="53">
        <f>Input!BR60*BR6/12</f>
        <v/>
      </c>
      <c r="BK22" s="53">
        <f>Input!BR60*BR6/12</f>
        <v/>
      </c>
      <c r="BL22" s="53">
        <f>Input!BR60*BR6/12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>
      <c r="A23" s="42" t="inlineStr">
        <is>
          <t xml:space="preserve">    Аренда 1000 м² (40 тыс/м²/год, индексация 7%)  [см. модель]</t>
        </is>
      </c>
      <c r="B23" s="43" t="inlineStr">
        <is>
          <t>млн ₽</t>
        </is>
      </c>
      <c r="C23" s="53">
        <f>SUM(BN23:BR23)</f>
        <v/>
      </c>
      <c r="D23" s="45" t="inlineStr"/>
      <c r="E23" s="53">
        <f>Input!BN61*BN6/12</f>
        <v/>
      </c>
      <c r="F23" s="53">
        <f>Input!BN61*BN6/12</f>
        <v/>
      </c>
      <c r="G23" s="53">
        <f>Input!BN61*BN6/12</f>
        <v/>
      </c>
      <c r="H23" s="53">
        <f>Input!BN61*BN6/12</f>
        <v/>
      </c>
      <c r="I23" s="53">
        <f>Input!BN61*BN6/12</f>
        <v/>
      </c>
      <c r="J23" s="53">
        <f>Input!BN61*BN6/12</f>
        <v/>
      </c>
      <c r="K23" s="53">
        <f>Input!BN61*BN6/12</f>
        <v/>
      </c>
      <c r="L23" s="53">
        <f>Input!BN61*BN6/12</f>
        <v/>
      </c>
      <c r="M23" s="53">
        <f>Input!BN61*BN6/12</f>
        <v/>
      </c>
      <c r="N23" s="53">
        <f>Input!BN61*BN6/12</f>
        <v/>
      </c>
      <c r="O23" s="53">
        <f>Input!BN61*BN6/12</f>
        <v/>
      </c>
      <c r="P23" s="53">
        <f>Input!BN61*BN6/12</f>
        <v/>
      </c>
      <c r="Q23" s="53">
        <f>Input!BO61*BO6/12</f>
        <v/>
      </c>
      <c r="R23" s="53">
        <f>Input!BO61*BO6/12</f>
        <v/>
      </c>
      <c r="S23" s="53">
        <f>Input!BO61*BO6/12</f>
        <v/>
      </c>
      <c r="T23" s="53">
        <f>Input!BO61*BO6/12</f>
        <v/>
      </c>
      <c r="U23" s="53">
        <f>Input!BO61*BO6/12</f>
        <v/>
      </c>
      <c r="V23" s="53">
        <f>Input!BO61*BO6/12</f>
        <v/>
      </c>
      <c r="W23" s="53">
        <f>Input!BO61*BO6/12</f>
        <v/>
      </c>
      <c r="X23" s="53">
        <f>Input!BO61*BO6/12</f>
        <v/>
      </c>
      <c r="Y23" s="53">
        <f>Input!BO61*BO6/12</f>
        <v/>
      </c>
      <c r="Z23" s="53">
        <f>Input!BO61*BO6/12</f>
        <v/>
      </c>
      <c r="AA23" s="53">
        <f>Input!BO61*BO6/12</f>
        <v/>
      </c>
      <c r="AB23" s="53">
        <f>Input!BO61*BO6/12</f>
        <v/>
      </c>
      <c r="AC23" s="53">
        <f>Input!BP61*BP6/12</f>
        <v/>
      </c>
      <c r="AD23" s="53">
        <f>Input!BP61*BP6/12</f>
        <v/>
      </c>
      <c r="AE23" s="53">
        <f>Input!BP61*BP6/12</f>
        <v/>
      </c>
      <c r="AF23" s="53">
        <f>Input!BP61*BP6/12</f>
        <v/>
      </c>
      <c r="AG23" s="53">
        <f>Input!BP61*BP6/12</f>
        <v/>
      </c>
      <c r="AH23" s="53">
        <f>Input!BP61*BP6/12</f>
        <v/>
      </c>
      <c r="AI23" s="53">
        <f>Input!BP61*BP6/12</f>
        <v/>
      </c>
      <c r="AJ23" s="53">
        <f>Input!BP61*BP6/12</f>
        <v/>
      </c>
      <c r="AK23" s="53">
        <f>Input!BP61*BP6/12</f>
        <v/>
      </c>
      <c r="AL23" s="53">
        <f>Input!BP61*BP6/12</f>
        <v/>
      </c>
      <c r="AM23" s="53">
        <f>Input!BP61*BP6/12</f>
        <v/>
      </c>
      <c r="AN23" s="53">
        <f>Input!BP61*BP6/12</f>
        <v/>
      </c>
      <c r="AO23" s="53">
        <f>Input!BQ61*BQ6/12</f>
        <v/>
      </c>
      <c r="AP23" s="53">
        <f>Input!BQ61*BQ6/12</f>
        <v/>
      </c>
      <c r="AQ23" s="53">
        <f>Input!BQ61*BQ6/12</f>
        <v/>
      </c>
      <c r="AR23" s="53">
        <f>Input!BQ61*BQ6/12</f>
        <v/>
      </c>
      <c r="AS23" s="53">
        <f>Input!BQ61*BQ6/12</f>
        <v/>
      </c>
      <c r="AT23" s="53">
        <f>Input!BQ61*BQ6/12</f>
        <v/>
      </c>
      <c r="AU23" s="53">
        <f>Input!BQ61*BQ6/12</f>
        <v/>
      </c>
      <c r="AV23" s="53">
        <f>Input!BQ61*BQ6/12</f>
        <v/>
      </c>
      <c r="AW23" s="53">
        <f>Input!BQ61*BQ6/12</f>
        <v/>
      </c>
      <c r="AX23" s="53">
        <f>Input!BQ61*BQ6/12</f>
        <v/>
      </c>
      <c r="AY23" s="53">
        <f>Input!BQ61*BQ6/12</f>
        <v/>
      </c>
      <c r="AZ23" s="53">
        <f>Input!BQ61*BQ6/12</f>
        <v/>
      </c>
      <c r="BA23" s="53">
        <f>Input!BR61*BR6/12</f>
        <v/>
      </c>
      <c r="BB23" s="53">
        <f>Input!BR61*BR6/12</f>
        <v/>
      </c>
      <c r="BC23" s="53">
        <f>Input!BR61*BR6/12</f>
        <v/>
      </c>
      <c r="BD23" s="53">
        <f>Input!BR61*BR6/12</f>
        <v/>
      </c>
      <c r="BE23" s="53">
        <f>Input!BR61*BR6/12</f>
        <v/>
      </c>
      <c r="BF23" s="53">
        <f>Input!BR61*BR6/12</f>
        <v/>
      </c>
      <c r="BG23" s="53">
        <f>Input!BR61*BR6/12</f>
        <v/>
      </c>
      <c r="BH23" s="53">
        <f>Input!BR61*BR6/12</f>
        <v/>
      </c>
      <c r="BI23" s="53">
        <f>Input!BR61*BR6/12</f>
        <v/>
      </c>
      <c r="BJ23" s="53">
        <f>Input!BR61*BR6/12</f>
        <v/>
      </c>
      <c r="BK23" s="53">
        <f>Input!BR61*BR6/12</f>
        <v/>
      </c>
      <c r="BL23" s="53">
        <f>Input!BR61*BR6/12</f>
        <v/>
      </c>
      <c r="BN23" s="53">
        <f>SUM(E23:P23)</f>
        <v/>
      </c>
      <c r="BO23" s="53">
        <f>SUM(Q23:AB23)</f>
        <v/>
      </c>
      <c r="BP23" s="53">
        <f>SUM(AC23:AN23)</f>
        <v/>
      </c>
      <c r="BQ23" s="53">
        <f>SUM(AO23:AZ23)</f>
        <v/>
      </c>
      <c r="BR23" s="53">
        <f>SUM(BA23:BL23)</f>
        <v/>
      </c>
    </row>
    <row r="24">
      <c r="A24" s="42" t="inlineStr">
        <is>
          <t xml:space="preserve">    Маркетинг (запуск 1.68 млн/мес Г1-2 → ~4% выручки)  [см. модель]</t>
        </is>
      </c>
      <c r="B24" s="43" t="inlineStr">
        <is>
          <t>млн ₽</t>
        </is>
      </c>
      <c r="C24" s="53">
        <f>SUM(BN24:BR24)</f>
        <v/>
      </c>
      <c r="D24" s="45" t="inlineStr"/>
      <c r="E24" s="53">
        <f>Input!BN62*BN6/12</f>
        <v/>
      </c>
      <c r="F24" s="53">
        <f>Input!BN62*BN6/12</f>
        <v/>
      </c>
      <c r="G24" s="53">
        <f>Input!BN62*BN6/12</f>
        <v/>
      </c>
      <c r="H24" s="53">
        <f>Input!BN62*BN6/12</f>
        <v/>
      </c>
      <c r="I24" s="53">
        <f>Input!BN62*BN6/12</f>
        <v/>
      </c>
      <c r="J24" s="53">
        <f>Input!BN62*BN6/12</f>
        <v/>
      </c>
      <c r="K24" s="53">
        <f>Input!BN62*BN6/12</f>
        <v/>
      </c>
      <c r="L24" s="53">
        <f>Input!BN62*BN6/12</f>
        <v/>
      </c>
      <c r="M24" s="53">
        <f>Input!BN62*BN6/12</f>
        <v/>
      </c>
      <c r="N24" s="53">
        <f>Input!BN62*BN6/12</f>
        <v/>
      </c>
      <c r="O24" s="53">
        <f>Input!BN62*BN6/12</f>
        <v/>
      </c>
      <c r="P24" s="53">
        <f>Input!BN62*BN6/12</f>
        <v/>
      </c>
      <c r="Q24" s="53">
        <f>Input!BO62*BO6/12</f>
        <v/>
      </c>
      <c r="R24" s="53">
        <f>Input!BO62*BO6/12</f>
        <v/>
      </c>
      <c r="S24" s="53">
        <f>Input!BO62*BO6/12</f>
        <v/>
      </c>
      <c r="T24" s="53">
        <f>Input!BO62*BO6/12</f>
        <v/>
      </c>
      <c r="U24" s="53">
        <f>Input!BO62*BO6/12</f>
        <v/>
      </c>
      <c r="V24" s="53">
        <f>Input!BO62*BO6/12</f>
        <v/>
      </c>
      <c r="W24" s="53">
        <f>Input!BO62*BO6/12</f>
        <v/>
      </c>
      <c r="X24" s="53">
        <f>Input!BO62*BO6/12</f>
        <v/>
      </c>
      <c r="Y24" s="53">
        <f>Input!BO62*BO6/12</f>
        <v/>
      </c>
      <c r="Z24" s="53">
        <f>Input!BO62*BO6/12</f>
        <v/>
      </c>
      <c r="AA24" s="53">
        <f>Input!BO62*BO6/12</f>
        <v/>
      </c>
      <c r="AB24" s="53">
        <f>Input!BO62*BO6/12</f>
        <v/>
      </c>
      <c r="AC24" s="53">
        <f>Input!BP62*BP6/12</f>
        <v/>
      </c>
      <c r="AD24" s="53">
        <f>Input!BP62*BP6/12</f>
        <v/>
      </c>
      <c r="AE24" s="53">
        <f>Input!BP62*BP6/12</f>
        <v/>
      </c>
      <c r="AF24" s="53">
        <f>Input!BP62*BP6/12</f>
        <v/>
      </c>
      <c r="AG24" s="53">
        <f>Input!BP62*BP6/12</f>
        <v/>
      </c>
      <c r="AH24" s="53">
        <f>Input!BP62*BP6/12</f>
        <v/>
      </c>
      <c r="AI24" s="53">
        <f>Input!BP62*BP6/12</f>
        <v/>
      </c>
      <c r="AJ24" s="53">
        <f>Input!BP62*BP6/12</f>
        <v/>
      </c>
      <c r="AK24" s="53">
        <f>Input!BP62*BP6/12</f>
        <v/>
      </c>
      <c r="AL24" s="53">
        <f>Input!BP62*BP6/12</f>
        <v/>
      </c>
      <c r="AM24" s="53">
        <f>Input!BP62*BP6/12</f>
        <v/>
      </c>
      <c r="AN24" s="53">
        <f>Input!BP62*BP6/12</f>
        <v/>
      </c>
      <c r="AO24" s="53">
        <f>Input!BQ62*BQ6/12</f>
        <v/>
      </c>
      <c r="AP24" s="53">
        <f>Input!BQ62*BQ6/12</f>
        <v/>
      </c>
      <c r="AQ24" s="53">
        <f>Input!BQ62*BQ6/12</f>
        <v/>
      </c>
      <c r="AR24" s="53">
        <f>Input!BQ62*BQ6/12</f>
        <v/>
      </c>
      <c r="AS24" s="53">
        <f>Input!BQ62*BQ6/12</f>
        <v/>
      </c>
      <c r="AT24" s="53">
        <f>Input!BQ62*BQ6/12</f>
        <v/>
      </c>
      <c r="AU24" s="53">
        <f>Input!BQ62*BQ6/12</f>
        <v/>
      </c>
      <c r="AV24" s="53">
        <f>Input!BQ62*BQ6/12</f>
        <v/>
      </c>
      <c r="AW24" s="53">
        <f>Input!BQ62*BQ6/12</f>
        <v/>
      </c>
      <c r="AX24" s="53">
        <f>Input!BQ62*BQ6/12</f>
        <v/>
      </c>
      <c r="AY24" s="53">
        <f>Input!BQ62*BQ6/12</f>
        <v/>
      </c>
      <c r="AZ24" s="53">
        <f>Input!BQ62*BQ6/12</f>
        <v/>
      </c>
      <c r="BA24" s="53">
        <f>Input!BR62*BR6/12</f>
        <v/>
      </c>
      <c r="BB24" s="53">
        <f>Input!BR62*BR6/12</f>
        <v/>
      </c>
      <c r="BC24" s="53">
        <f>Input!BR62*BR6/12</f>
        <v/>
      </c>
      <c r="BD24" s="53">
        <f>Input!BR62*BR6/12</f>
        <v/>
      </c>
      <c r="BE24" s="53">
        <f>Input!BR62*BR6/12</f>
        <v/>
      </c>
      <c r="BF24" s="53">
        <f>Input!BR62*BR6/12</f>
        <v/>
      </c>
      <c r="BG24" s="53">
        <f>Input!BR62*BR6/12</f>
        <v/>
      </c>
      <c r="BH24" s="53">
        <f>Input!BR62*BR6/12</f>
        <v/>
      </c>
      <c r="BI24" s="53">
        <f>Input!BR62*BR6/12</f>
        <v/>
      </c>
      <c r="BJ24" s="53">
        <f>Input!BR62*BR6/12</f>
        <v/>
      </c>
      <c r="BK24" s="53">
        <f>Input!BR62*BR6/12</f>
        <v/>
      </c>
      <c r="BL24" s="53">
        <f>Input!BR62*BR6/12</f>
        <v/>
      </c>
      <c r="BN24" s="53">
        <f>SUM(E24:P24)</f>
        <v/>
      </c>
      <c r="BO24" s="53">
        <f>SUM(Q24:AB24)</f>
        <v/>
      </c>
      <c r="BP24" s="53">
        <f>SUM(AC24:AN24)</f>
        <v/>
      </c>
      <c r="BQ24" s="53">
        <f>SUM(AO24:AZ24)</f>
        <v/>
      </c>
      <c r="BR24" s="53">
        <f>SUM(BA24:BL24)</f>
        <v/>
      </c>
    </row>
    <row r="25">
      <c r="A25" s="42" t="inlineStr">
        <is>
          <t xml:space="preserve">    IT и ПО  [см. модель]</t>
        </is>
      </c>
      <c r="B25" s="43" t="inlineStr">
        <is>
          <t>млн ₽</t>
        </is>
      </c>
      <c r="C25" s="53">
        <f>SUM(BN25:BR25)</f>
        <v/>
      </c>
      <c r="D25" s="45" t="inlineStr"/>
      <c r="E25" s="53">
        <f>Input!BN63*BN6/12</f>
        <v/>
      </c>
      <c r="F25" s="53">
        <f>Input!BN63*BN6/12</f>
        <v/>
      </c>
      <c r="G25" s="53">
        <f>Input!BN63*BN6/12</f>
        <v/>
      </c>
      <c r="H25" s="53">
        <f>Input!BN63*BN6/12</f>
        <v/>
      </c>
      <c r="I25" s="53">
        <f>Input!BN63*BN6/12</f>
        <v/>
      </c>
      <c r="J25" s="53">
        <f>Input!BN63*BN6/12</f>
        <v/>
      </c>
      <c r="K25" s="53">
        <f>Input!BN63*BN6/12</f>
        <v/>
      </c>
      <c r="L25" s="53">
        <f>Input!BN63*BN6/12</f>
        <v/>
      </c>
      <c r="M25" s="53">
        <f>Input!BN63*BN6/12</f>
        <v/>
      </c>
      <c r="N25" s="53">
        <f>Input!BN63*BN6/12</f>
        <v/>
      </c>
      <c r="O25" s="53">
        <f>Input!BN63*BN6/12</f>
        <v/>
      </c>
      <c r="P25" s="53">
        <f>Input!BN63*BN6/12</f>
        <v/>
      </c>
      <c r="Q25" s="53">
        <f>Input!BO63*BO6/12</f>
        <v/>
      </c>
      <c r="R25" s="53">
        <f>Input!BO63*BO6/12</f>
        <v/>
      </c>
      <c r="S25" s="53">
        <f>Input!BO63*BO6/12</f>
        <v/>
      </c>
      <c r="T25" s="53">
        <f>Input!BO63*BO6/12</f>
        <v/>
      </c>
      <c r="U25" s="53">
        <f>Input!BO63*BO6/12</f>
        <v/>
      </c>
      <c r="V25" s="53">
        <f>Input!BO63*BO6/12</f>
        <v/>
      </c>
      <c r="W25" s="53">
        <f>Input!BO63*BO6/12</f>
        <v/>
      </c>
      <c r="X25" s="53">
        <f>Input!BO63*BO6/12</f>
        <v/>
      </c>
      <c r="Y25" s="53">
        <f>Input!BO63*BO6/12</f>
        <v/>
      </c>
      <c r="Z25" s="53">
        <f>Input!BO63*BO6/12</f>
        <v/>
      </c>
      <c r="AA25" s="53">
        <f>Input!BO63*BO6/12</f>
        <v/>
      </c>
      <c r="AB25" s="53">
        <f>Input!BO63*BO6/12</f>
        <v/>
      </c>
      <c r="AC25" s="53">
        <f>Input!BP63*BP6/12</f>
        <v/>
      </c>
      <c r="AD25" s="53">
        <f>Input!BP63*BP6/12</f>
        <v/>
      </c>
      <c r="AE25" s="53">
        <f>Input!BP63*BP6/12</f>
        <v/>
      </c>
      <c r="AF25" s="53">
        <f>Input!BP63*BP6/12</f>
        <v/>
      </c>
      <c r="AG25" s="53">
        <f>Input!BP63*BP6/12</f>
        <v/>
      </c>
      <c r="AH25" s="53">
        <f>Input!BP63*BP6/12</f>
        <v/>
      </c>
      <c r="AI25" s="53">
        <f>Input!BP63*BP6/12</f>
        <v/>
      </c>
      <c r="AJ25" s="53">
        <f>Input!BP63*BP6/12</f>
        <v/>
      </c>
      <c r="AK25" s="53">
        <f>Input!BP63*BP6/12</f>
        <v/>
      </c>
      <c r="AL25" s="53">
        <f>Input!BP63*BP6/12</f>
        <v/>
      </c>
      <c r="AM25" s="53">
        <f>Input!BP63*BP6/12</f>
        <v/>
      </c>
      <c r="AN25" s="53">
        <f>Input!BP63*BP6/12</f>
        <v/>
      </c>
      <c r="AO25" s="53">
        <f>Input!BQ63*BQ6/12</f>
        <v/>
      </c>
      <c r="AP25" s="53">
        <f>Input!BQ63*BQ6/12</f>
        <v/>
      </c>
      <c r="AQ25" s="53">
        <f>Input!BQ63*BQ6/12</f>
        <v/>
      </c>
      <c r="AR25" s="53">
        <f>Input!BQ63*BQ6/12</f>
        <v/>
      </c>
      <c r="AS25" s="53">
        <f>Input!BQ63*BQ6/12</f>
        <v/>
      </c>
      <c r="AT25" s="53">
        <f>Input!BQ63*BQ6/12</f>
        <v/>
      </c>
      <c r="AU25" s="53">
        <f>Input!BQ63*BQ6/12</f>
        <v/>
      </c>
      <c r="AV25" s="53">
        <f>Input!BQ63*BQ6/12</f>
        <v/>
      </c>
      <c r="AW25" s="53">
        <f>Input!BQ63*BQ6/12</f>
        <v/>
      </c>
      <c r="AX25" s="53">
        <f>Input!BQ63*BQ6/12</f>
        <v/>
      </c>
      <c r="AY25" s="53">
        <f>Input!BQ63*BQ6/12</f>
        <v/>
      </c>
      <c r="AZ25" s="53">
        <f>Input!BQ63*BQ6/12</f>
        <v/>
      </c>
      <c r="BA25" s="53">
        <f>Input!BR63*BR6/12</f>
        <v/>
      </c>
      <c r="BB25" s="53">
        <f>Input!BR63*BR6/12</f>
        <v/>
      </c>
      <c r="BC25" s="53">
        <f>Input!BR63*BR6/12</f>
        <v/>
      </c>
      <c r="BD25" s="53">
        <f>Input!BR63*BR6/12</f>
        <v/>
      </c>
      <c r="BE25" s="53">
        <f>Input!BR63*BR6/12</f>
        <v/>
      </c>
      <c r="BF25" s="53">
        <f>Input!BR63*BR6/12</f>
        <v/>
      </c>
      <c r="BG25" s="53">
        <f>Input!BR63*BR6/12</f>
        <v/>
      </c>
      <c r="BH25" s="53">
        <f>Input!BR63*BR6/12</f>
        <v/>
      </c>
      <c r="BI25" s="53">
        <f>Input!BR63*BR6/12</f>
        <v/>
      </c>
      <c r="BJ25" s="53">
        <f>Input!BR63*BR6/12</f>
        <v/>
      </c>
      <c r="BK25" s="53">
        <f>Input!BR63*BR6/12</f>
        <v/>
      </c>
      <c r="BL25" s="53">
        <f>Input!BR63*BR6/12</f>
        <v/>
      </c>
      <c r="BN25" s="53">
        <f>SUM(E25:P25)</f>
        <v/>
      </c>
      <c r="BO25" s="53">
        <f>SUM(Q25:AB25)</f>
        <v/>
      </c>
      <c r="BP25" s="53">
        <f>SUM(AC25:AN25)</f>
        <v/>
      </c>
      <c r="BQ25" s="53">
        <f>SUM(AO25:AZ25)</f>
        <v/>
      </c>
      <c r="BR25" s="53">
        <f>SUM(BA25:BL25)</f>
        <v/>
      </c>
    </row>
    <row r="26">
      <c r="A26" s="42" t="inlineStr">
        <is>
          <t xml:space="preserve">    Страхование  [см. модель]</t>
        </is>
      </c>
      <c r="B26" s="43" t="inlineStr">
        <is>
          <t>млн ₽</t>
        </is>
      </c>
      <c r="C26" s="53">
        <f>SUM(BN26:BR26)</f>
        <v/>
      </c>
      <c r="D26" s="45" t="inlineStr"/>
      <c r="E26" s="53">
        <f>Input!BN64*BN6/12</f>
        <v/>
      </c>
      <c r="F26" s="53">
        <f>Input!BN64*BN6/12</f>
        <v/>
      </c>
      <c r="G26" s="53">
        <f>Input!BN64*BN6/12</f>
        <v/>
      </c>
      <c r="H26" s="53">
        <f>Input!BN64*BN6/12</f>
        <v/>
      </c>
      <c r="I26" s="53">
        <f>Input!BN64*BN6/12</f>
        <v/>
      </c>
      <c r="J26" s="53">
        <f>Input!BN64*BN6/12</f>
        <v/>
      </c>
      <c r="K26" s="53">
        <f>Input!BN64*BN6/12</f>
        <v/>
      </c>
      <c r="L26" s="53">
        <f>Input!BN64*BN6/12</f>
        <v/>
      </c>
      <c r="M26" s="53">
        <f>Input!BN64*BN6/12</f>
        <v/>
      </c>
      <c r="N26" s="53">
        <f>Input!BN64*BN6/12</f>
        <v/>
      </c>
      <c r="O26" s="53">
        <f>Input!BN64*BN6/12</f>
        <v/>
      </c>
      <c r="P26" s="53">
        <f>Input!BN64*BN6/12</f>
        <v/>
      </c>
      <c r="Q26" s="53">
        <f>Input!BO64*BO6/12</f>
        <v/>
      </c>
      <c r="R26" s="53">
        <f>Input!BO64*BO6/12</f>
        <v/>
      </c>
      <c r="S26" s="53">
        <f>Input!BO64*BO6/12</f>
        <v/>
      </c>
      <c r="T26" s="53">
        <f>Input!BO64*BO6/12</f>
        <v/>
      </c>
      <c r="U26" s="53">
        <f>Input!BO64*BO6/12</f>
        <v/>
      </c>
      <c r="V26" s="53">
        <f>Input!BO64*BO6/12</f>
        <v/>
      </c>
      <c r="W26" s="53">
        <f>Input!BO64*BO6/12</f>
        <v/>
      </c>
      <c r="X26" s="53">
        <f>Input!BO64*BO6/12</f>
        <v/>
      </c>
      <c r="Y26" s="53">
        <f>Input!BO64*BO6/12</f>
        <v/>
      </c>
      <c r="Z26" s="53">
        <f>Input!BO64*BO6/12</f>
        <v/>
      </c>
      <c r="AA26" s="53">
        <f>Input!BO64*BO6/12</f>
        <v/>
      </c>
      <c r="AB26" s="53">
        <f>Input!BO64*BO6/12</f>
        <v/>
      </c>
      <c r="AC26" s="53">
        <f>Input!BP64*BP6/12</f>
        <v/>
      </c>
      <c r="AD26" s="53">
        <f>Input!BP64*BP6/12</f>
        <v/>
      </c>
      <c r="AE26" s="53">
        <f>Input!BP64*BP6/12</f>
        <v/>
      </c>
      <c r="AF26" s="53">
        <f>Input!BP64*BP6/12</f>
        <v/>
      </c>
      <c r="AG26" s="53">
        <f>Input!BP64*BP6/12</f>
        <v/>
      </c>
      <c r="AH26" s="53">
        <f>Input!BP64*BP6/12</f>
        <v/>
      </c>
      <c r="AI26" s="53">
        <f>Input!BP64*BP6/12</f>
        <v/>
      </c>
      <c r="AJ26" s="53">
        <f>Input!BP64*BP6/12</f>
        <v/>
      </c>
      <c r="AK26" s="53">
        <f>Input!BP64*BP6/12</f>
        <v/>
      </c>
      <c r="AL26" s="53">
        <f>Input!BP64*BP6/12</f>
        <v/>
      </c>
      <c r="AM26" s="53">
        <f>Input!BP64*BP6/12</f>
        <v/>
      </c>
      <c r="AN26" s="53">
        <f>Input!BP64*BP6/12</f>
        <v/>
      </c>
      <c r="AO26" s="53">
        <f>Input!BQ64*BQ6/12</f>
        <v/>
      </c>
      <c r="AP26" s="53">
        <f>Input!BQ64*BQ6/12</f>
        <v/>
      </c>
      <c r="AQ26" s="53">
        <f>Input!BQ64*BQ6/12</f>
        <v/>
      </c>
      <c r="AR26" s="53">
        <f>Input!BQ64*BQ6/12</f>
        <v/>
      </c>
      <c r="AS26" s="53">
        <f>Input!BQ64*BQ6/12</f>
        <v/>
      </c>
      <c r="AT26" s="53">
        <f>Input!BQ64*BQ6/12</f>
        <v/>
      </c>
      <c r="AU26" s="53">
        <f>Input!BQ64*BQ6/12</f>
        <v/>
      </c>
      <c r="AV26" s="53">
        <f>Input!BQ64*BQ6/12</f>
        <v/>
      </c>
      <c r="AW26" s="53">
        <f>Input!BQ64*BQ6/12</f>
        <v/>
      </c>
      <c r="AX26" s="53">
        <f>Input!BQ64*BQ6/12</f>
        <v/>
      </c>
      <c r="AY26" s="53">
        <f>Input!BQ64*BQ6/12</f>
        <v/>
      </c>
      <c r="AZ26" s="53">
        <f>Input!BQ64*BQ6/12</f>
        <v/>
      </c>
      <c r="BA26" s="53">
        <f>Input!BR64*BR6/12</f>
        <v/>
      </c>
      <c r="BB26" s="53">
        <f>Input!BR64*BR6/12</f>
        <v/>
      </c>
      <c r="BC26" s="53">
        <f>Input!BR64*BR6/12</f>
        <v/>
      </c>
      <c r="BD26" s="53">
        <f>Input!BR64*BR6/12</f>
        <v/>
      </c>
      <c r="BE26" s="53">
        <f>Input!BR64*BR6/12</f>
        <v/>
      </c>
      <c r="BF26" s="53">
        <f>Input!BR64*BR6/12</f>
        <v/>
      </c>
      <c r="BG26" s="53">
        <f>Input!BR64*BR6/12</f>
        <v/>
      </c>
      <c r="BH26" s="53">
        <f>Input!BR64*BR6/12</f>
        <v/>
      </c>
      <c r="BI26" s="53">
        <f>Input!BR64*BR6/12</f>
        <v/>
      </c>
      <c r="BJ26" s="53">
        <f>Input!BR64*BR6/12</f>
        <v/>
      </c>
      <c r="BK26" s="53">
        <f>Input!BR64*BR6/12</f>
        <v/>
      </c>
      <c r="BL26" s="53">
        <f>Input!BR64*BR6/12</f>
        <v/>
      </c>
      <c r="BN26" s="53">
        <f>SUM(E26:P26)</f>
        <v/>
      </c>
      <c r="BO26" s="53">
        <f>SUM(Q26:AB26)</f>
        <v/>
      </c>
      <c r="BP26" s="53">
        <f>SUM(AC26:AN26)</f>
        <v/>
      </c>
      <c r="BQ26" s="53">
        <f>SUM(AO26:AZ26)</f>
        <v/>
      </c>
      <c r="BR26" s="53">
        <f>SUM(BA26:BL26)</f>
        <v/>
      </c>
    </row>
    <row r="27">
      <c r="A27" s="42" t="inlineStr">
        <is>
          <t xml:space="preserve">    Хозяйственные расходы  [см. модель]</t>
        </is>
      </c>
      <c r="B27" s="43" t="inlineStr">
        <is>
          <t>млн ₽</t>
        </is>
      </c>
      <c r="C27" s="53">
        <f>SUM(BN27:BR27)</f>
        <v/>
      </c>
      <c r="D27" s="45" t="inlineStr"/>
      <c r="E27" s="53">
        <f>Input!BN65*BN6/12</f>
        <v/>
      </c>
      <c r="F27" s="53">
        <f>Input!BN65*BN6/12</f>
        <v/>
      </c>
      <c r="G27" s="53">
        <f>Input!BN65*BN6/12</f>
        <v/>
      </c>
      <c r="H27" s="53">
        <f>Input!BN65*BN6/12</f>
        <v/>
      </c>
      <c r="I27" s="53">
        <f>Input!BN65*BN6/12</f>
        <v/>
      </c>
      <c r="J27" s="53">
        <f>Input!BN65*BN6/12</f>
        <v/>
      </c>
      <c r="K27" s="53">
        <f>Input!BN65*BN6/12</f>
        <v/>
      </c>
      <c r="L27" s="53">
        <f>Input!BN65*BN6/12</f>
        <v/>
      </c>
      <c r="M27" s="53">
        <f>Input!BN65*BN6/12</f>
        <v/>
      </c>
      <c r="N27" s="53">
        <f>Input!BN65*BN6/12</f>
        <v/>
      </c>
      <c r="O27" s="53">
        <f>Input!BN65*BN6/12</f>
        <v/>
      </c>
      <c r="P27" s="53">
        <f>Input!BN65*BN6/12</f>
        <v/>
      </c>
      <c r="Q27" s="53">
        <f>Input!BO65*BO6/12</f>
        <v/>
      </c>
      <c r="R27" s="53">
        <f>Input!BO65*BO6/12</f>
        <v/>
      </c>
      <c r="S27" s="53">
        <f>Input!BO65*BO6/12</f>
        <v/>
      </c>
      <c r="T27" s="53">
        <f>Input!BO65*BO6/12</f>
        <v/>
      </c>
      <c r="U27" s="53">
        <f>Input!BO65*BO6/12</f>
        <v/>
      </c>
      <c r="V27" s="53">
        <f>Input!BO65*BO6/12</f>
        <v/>
      </c>
      <c r="W27" s="53">
        <f>Input!BO65*BO6/12</f>
        <v/>
      </c>
      <c r="X27" s="53">
        <f>Input!BO65*BO6/12</f>
        <v/>
      </c>
      <c r="Y27" s="53">
        <f>Input!BO65*BO6/12</f>
        <v/>
      </c>
      <c r="Z27" s="53">
        <f>Input!BO65*BO6/12</f>
        <v/>
      </c>
      <c r="AA27" s="53">
        <f>Input!BO65*BO6/12</f>
        <v/>
      </c>
      <c r="AB27" s="53">
        <f>Input!BO65*BO6/12</f>
        <v/>
      </c>
      <c r="AC27" s="53">
        <f>Input!BP65*BP6/12</f>
        <v/>
      </c>
      <c r="AD27" s="53">
        <f>Input!BP65*BP6/12</f>
        <v/>
      </c>
      <c r="AE27" s="53">
        <f>Input!BP65*BP6/12</f>
        <v/>
      </c>
      <c r="AF27" s="53">
        <f>Input!BP65*BP6/12</f>
        <v/>
      </c>
      <c r="AG27" s="53">
        <f>Input!BP65*BP6/12</f>
        <v/>
      </c>
      <c r="AH27" s="53">
        <f>Input!BP65*BP6/12</f>
        <v/>
      </c>
      <c r="AI27" s="53">
        <f>Input!BP65*BP6/12</f>
        <v/>
      </c>
      <c r="AJ27" s="53">
        <f>Input!BP65*BP6/12</f>
        <v/>
      </c>
      <c r="AK27" s="53">
        <f>Input!BP65*BP6/12</f>
        <v/>
      </c>
      <c r="AL27" s="53">
        <f>Input!BP65*BP6/12</f>
        <v/>
      </c>
      <c r="AM27" s="53">
        <f>Input!BP65*BP6/12</f>
        <v/>
      </c>
      <c r="AN27" s="53">
        <f>Input!BP65*BP6/12</f>
        <v/>
      </c>
      <c r="AO27" s="53">
        <f>Input!BQ65*BQ6/12</f>
        <v/>
      </c>
      <c r="AP27" s="53">
        <f>Input!BQ65*BQ6/12</f>
        <v/>
      </c>
      <c r="AQ27" s="53">
        <f>Input!BQ65*BQ6/12</f>
        <v/>
      </c>
      <c r="AR27" s="53">
        <f>Input!BQ65*BQ6/12</f>
        <v/>
      </c>
      <c r="AS27" s="53">
        <f>Input!BQ65*BQ6/12</f>
        <v/>
      </c>
      <c r="AT27" s="53">
        <f>Input!BQ65*BQ6/12</f>
        <v/>
      </c>
      <c r="AU27" s="53">
        <f>Input!BQ65*BQ6/12</f>
        <v/>
      </c>
      <c r="AV27" s="53">
        <f>Input!BQ65*BQ6/12</f>
        <v/>
      </c>
      <c r="AW27" s="53">
        <f>Input!BQ65*BQ6/12</f>
        <v/>
      </c>
      <c r="AX27" s="53">
        <f>Input!BQ65*BQ6/12</f>
        <v/>
      </c>
      <c r="AY27" s="53">
        <f>Input!BQ65*BQ6/12</f>
        <v/>
      </c>
      <c r="AZ27" s="53">
        <f>Input!BQ65*BQ6/12</f>
        <v/>
      </c>
      <c r="BA27" s="53">
        <f>Input!BR65*BR6/12</f>
        <v/>
      </c>
      <c r="BB27" s="53">
        <f>Input!BR65*BR6/12</f>
        <v/>
      </c>
      <c r="BC27" s="53">
        <f>Input!BR65*BR6/12</f>
        <v/>
      </c>
      <c r="BD27" s="53">
        <f>Input!BR65*BR6/12</f>
        <v/>
      </c>
      <c r="BE27" s="53">
        <f>Input!BR65*BR6/12</f>
        <v/>
      </c>
      <c r="BF27" s="53">
        <f>Input!BR65*BR6/12</f>
        <v/>
      </c>
      <c r="BG27" s="53">
        <f>Input!BR65*BR6/12</f>
        <v/>
      </c>
      <c r="BH27" s="53">
        <f>Input!BR65*BR6/12</f>
        <v/>
      </c>
      <c r="BI27" s="53">
        <f>Input!BR65*BR6/12</f>
        <v/>
      </c>
      <c r="BJ27" s="53">
        <f>Input!BR65*BR6/12</f>
        <v/>
      </c>
      <c r="BK27" s="53">
        <f>Input!BR65*BR6/12</f>
        <v/>
      </c>
      <c r="BL27" s="53">
        <f>Input!BR65*BR6/12</f>
        <v/>
      </c>
      <c r="BN27" s="53">
        <f>SUM(E27:P27)</f>
        <v/>
      </c>
      <c r="BO27" s="53">
        <f>SUM(Q27:AB27)</f>
        <v/>
      </c>
      <c r="BP27" s="53">
        <f>SUM(AC27:AN27)</f>
        <v/>
      </c>
      <c r="BQ27" s="53">
        <f>SUM(AO27:AZ27)</f>
        <v/>
      </c>
      <c r="BR27" s="53">
        <f>SUM(BA27:BL27)</f>
        <v/>
      </c>
    </row>
    <row r="28">
      <c r="A28" s="42" t="inlineStr">
        <is>
          <t xml:space="preserve">    Прочие административные  [см. модель]</t>
        </is>
      </c>
      <c r="B28" s="43" t="inlineStr">
        <is>
          <t>млн ₽</t>
        </is>
      </c>
      <c r="C28" s="53">
        <f>SUM(BN28:BR28)</f>
        <v/>
      </c>
      <c r="D28" s="45" t="inlineStr"/>
      <c r="E28" s="53">
        <f>Input!BN66*BN6/12</f>
        <v/>
      </c>
      <c r="F28" s="53">
        <f>Input!BN66*BN6/12</f>
        <v/>
      </c>
      <c r="G28" s="53">
        <f>Input!BN66*BN6/12</f>
        <v/>
      </c>
      <c r="H28" s="53">
        <f>Input!BN66*BN6/12</f>
        <v/>
      </c>
      <c r="I28" s="53">
        <f>Input!BN66*BN6/12</f>
        <v/>
      </c>
      <c r="J28" s="53">
        <f>Input!BN66*BN6/12</f>
        <v/>
      </c>
      <c r="K28" s="53">
        <f>Input!BN66*BN6/12</f>
        <v/>
      </c>
      <c r="L28" s="53">
        <f>Input!BN66*BN6/12</f>
        <v/>
      </c>
      <c r="M28" s="53">
        <f>Input!BN66*BN6/12</f>
        <v/>
      </c>
      <c r="N28" s="53">
        <f>Input!BN66*BN6/12</f>
        <v/>
      </c>
      <c r="O28" s="53">
        <f>Input!BN66*BN6/12</f>
        <v/>
      </c>
      <c r="P28" s="53">
        <f>Input!BN66*BN6/12</f>
        <v/>
      </c>
      <c r="Q28" s="53">
        <f>Input!BO66*BO6/12</f>
        <v/>
      </c>
      <c r="R28" s="53">
        <f>Input!BO66*BO6/12</f>
        <v/>
      </c>
      <c r="S28" s="53">
        <f>Input!BO66*BO6/12</f>
        <v/>
      </c>
      <c r="T28" s="53">
        <f>Input!BO66*BO6/12</f>
        <v/>
      </c>
      <c r="U28" s="53">
        <f>Input!BO66*BO6/12</f>
        <v/>
      </c>
      <c r="V28" s="53">
        <f>Input!BO66*BO6/12</f>
        <v/>
      </c>
      <c r="W28" s="53">
        <f>Input!BO66*BO6/12</f>
        <v/>
      </c>
      <c r="X28" s="53">
        <f>Input!BO66*BO6/12</f>
        <v/>
      </c>
      <c r="Y28" s="53">
        <f>Input!BO66*BO6/12</f>
        <v/>
      </c>
      <c r="Z28" s="53">
        <f>Input!BO66*BO6/12</f>
        <v/>
      </c>
      <c r="AA28" s="53">
        <f>Input!BO66*BO6/12</f>
        <v/>
      </c>
      <c r="AB28" s="53">
        <f>Input!BO66*BO6/12</f>
        <v/>
      </c>
      <c r="AC28" s="53">
        <f>Input!BP66*BP6/12</f>
        <v/>
      </c>
      <c r="AD28" s="53">
        <f>Input!BP66*BP6/12</f>
        <v/>
      </c>
      <c r="AE28" s="53">
        <f>Input!BP66*BP6/12</f>
        <v/>
      </c>
      <c r="AF28" s="53">
        <f>Input!BP66*BP6/12</f>
        <v/>
      </c>
      <c r="AG28" s="53">
        <f>Input!BP66*BP6/12</f>
        <v/>
      </c>
      <c r="AH28" s="53">
        <f>Input!BP66*BP6/12</f>
        <v/>
      </c>
      <c r="AI28" s="53">
        <f>Input!BP66*BP6/12</f>
        <v/>
      </c>
      <c r="AJ28" s="53">
        <f>Input!BP66*BP6/12</f>
        <v/>
      </c>
      <c r="AK28" s="53">
        <f>Input!BP66*BP6/12</f>
        <v/>
      </c>
      <c r="AL28" s="53">
        <f>Input!BP66*BP6/12</f>
        <v/>
      </c>
      <c r="AM28" s="53">
        <f>Input!BP66*BP6/12</f>
        <v/>
      </c>
      <c r="AN28" s="53">
        <f>Input!BP66*BP6/12</f>
        <v/>
      </c>
      <c r="AO28" s="53">
        <f>Input!BQ66*BQ6/12</f>
        <v/>
      </c>
      <c r="AP28" s="53">
        <f>Input!BQ66*BQ6/12</f>
        <v/>
      </c>
      <c r="AQ28" s="53">
        <f>Input!BQ66*BQ6/12</f>
        <v/>
      </c>
      <c r="AR28" s="53">
        <f>Input!BQ66*BQ6/12</f>
        <v/>
      </c>
      <c r="AS28" s="53">
        <f>Input!BQ66*BQ6/12</f>
        <v/>
      </c>
      <c r="AT28" s="53">
        <f>Input!BQ66*BQ6/12</f>
        <v/>
      </c>
      <c r="AU28" s="53">
        <f>Input!BQ66*BQ6/12</f>
        <v/>
      </c>
      <c r="AV28" s="53">
        <f>Input!BQ66*BQ6/12</f>
        <v/>
      </c>
      <c r="AW28" s="53">
        <f>Input!BQ66*BQ6/12</f>
        <v/>
      </c>
      <c r="AX28" s="53">
        <f>Input!BQ66*BQ6/12</f>
        <v/>
      </c>
      <c r="AY28" s="53">
        <f>Input!BQ66*BQ6/12</f>
        <v/>
      </c>
      <c r="AZ28" s="53">
        <f>Input!BQ66*BQ6/12</f>
        <v/>
      </c>
      <c r="BA28" s="53">
        <f>Input!BR66*BR6/12</f>
        <v/>
      </c>
      <c r="BB28" s="53">
        <f>Input!BR66*BR6/12</f>
        <v/>
      </c>
      <c r="BC28" s="53">
        <f>Input!BR66*BR6/12</f>
        <v/>
      </c>
      <c r="BD28" s="53">
        <f>Input!BR66*BR6/12</f>
        <v/>
      </c>
      <c r="BE28" s="53">
        <f>Input!BR66*BR6/12</f>
        <v/>
      </c>
      <c r="BF28" s="53">
        <f>Input!BR66*BR6/12</f>
        <v/>
      </c>
      <c r="BG28" s="53">
        <f>Input!BR66*BR6/12</f>
        <v/>
      </c>
      <c r="BH28" s="53">
        <f>Input!BR66*BR6/12</f>
        <v/>
      </c>
      <c r="BI28" s="53">
        <f>Input!BR66*BR6/12</f>
        <v/>
      </c>
      <c r="BJ28" s="53">
        <f>Input!BR66*BR6/12</f>
        <v/>
      </c>
      <c r="BK28" s="53">
        <f>Input!BR66*BR6/12</f>
        <v/>
      </c>
      <c r="BL28" s="53">
        <f>Input!BR66*BR6/12</f>
        <v/>
      </c>
      <c r="BN28" s="53">
        <f>SUM(E28:P28)</f>
        <v/>
      </c>
      <c r="BO28" s="53">
        <f>SUM(Q28:AB28)</f>
        <v/>
      </c>
      <c r="BP28" s="53">
        <f>SUM(AC28:AN28)</f>
        <v/>
      </c>
      <c r="BQ28" s="53">
        <f>SUM(AO28:AZ28)</f>
        <v/>
      </c>
      <c r="BR28" s="53">
        <f>SUM(BA28:BL28)</f>
        <v/>
      </c>
    </row>
    <row r="29">
      <c r="A29" s="80" t="inlineStr">
        <is>
          <t>ИТОГО SGA (млн ₽)</t>
        </is>
      </c>
      <c r="B29" s="81" t="inlineStr">
        <is>
          <t>млн ₽</t>
        </is>
      </c>
      <c r="C29" s="82">
        <f>SUM(BN29:BR29)</f>
        <v/>
      </c>
      <c r="D29" s="45" t="inlineStr"/>
      <c r="E29" s="82">
        <f>E22+E23+E24+E25+E26+E27+E28</f>
        <v/>
      </c>
      <c r="F29" s="82">
        <f>F22+F23+F24+F25+F26+F27+F28</f>
        <v/>
      </c>
      <c r="G29" s="82">
        <f>G22+G23+G24+G25+G26+G27+G28</f>
        <v/>
      </c>
      <c r="H29" s="82">
        <f>H22+H23+H24+H25+H26+H27+H28</f>
        <v/>
      </c>
      <c r="I29" s="82">
        <f>I22+I23+I24+I25+I26+I27+I28</f>
        <v/>
      </c>
      <c r="J29" s="82">
        <f>J22+J23+J24+J25+J26+J27+J28</f>
        <v/>
      </c>
      <c r="K29" s="82">
        <f>K22+K23+K24+K25+K26+K27+K28</f>
        <v/>
      </c>
      <c r="L29" s="82">
        <f>L22+L23+L24+L25+L26+L27+L28</f>
        <v/>
      </c>
      <c r="M29" s="82">
        <f>M22+M23+M24+M25+M26+M27+M28</f>
        <v/>
      </c>
      <c r="N29" s="82">
        <f>N22+N23+N24+N25+N26+N27+N28</f>
        <v/>
      </c>
      <c r="O29" s="82">
        <f>O22+O23+O24+O25+O26+O27+O28</f>
        <v/>
      </c>
      <c r="P29" s="82">
        <f>P22+P23+P24+P25+P26+P27+P28</f>
        <v/>
      </c>
      <c r="Q29" s="82">
        <f>Q22+Q23+Q24+Q25+Q26+Q27+Q28</f>
        <v/>
      </c>
      <c r="R29" s="82">
        <f>R22+R23+R24+R25+R26+R27+R28</f>
        <v/>
      </c>
      <c r="S29" s="82">
        <f>S22+S23+S24+S25+S26+S27+S28</f>
        <v/>
      </c>
      <c r="T29" s="82">
        <f>T22+T23+T24+T25+T26+T27+T28</f>
        <v/>
      </c>
      <c r="U29" s="82">
        <f>U22+U23+U24+U25+U26+U27+U28</f>
        <v/>
      </c>
      <c r="V29" s="82">
        <f>V22+V23+V24+V25+V26+V27+V28</f>
        <v/>
      </c>
      <c r="W29" s="82">
        <f>W22+W23+W24+W25+W26+W27+W28</f>
        <v/>
      </c>
      <c r="X29" s="82">
        <f>X22+X23+X24+X25+X26+X27+X28</f>
        <v/>
      </c>
      <c r="Y29" s="82">
        <f>Y22+Y23+Y24+Y25+Y26+Y27+Y28</f>
        <v/>
      </c>
      <c r="Z29" s="82">
        <f>Z22+Z23+Z24+Z25+Z26+Z27+Z28</f>
        <v/>
      </c>
      <c r="AA29" s="82">
        <f>AA22+AA23+AA24+AA25+AA26+AA27+AA28</f>
        <v/>
      </c>
      <c r="AB29" s="82">
        <f>AB22+AB23+AB24+AB25+AB26+AB27+AB28</f>
        <v/>
      </c>
      <c r="AC29" s="82">
        <f>AC22+AC23+AC24+AC25+AC26+AC27+AC28</f>
        <v/>
      </c>
      <c r="AD29" s="82">
        <f>AD22+AD23+AD24+AD25+AD26+AD27+AD28</f>
        <v/>
      </c>
      <c r="AE29" s="82">
        <f>AE22+AE23+AE24+AE25+AE26+AE27+AE28</f>
        <v/>
      </c>
      <c r="AF29" s="82">
        <f>AF22+AF23+AF24+AF25+AF26+AF27+AF28</f>
        <v/>
      </c>
      <c r="AG29" s="82">
        <f>AG22+AG23+AG24+AG25+AG26+AG27+AG28</f>
        <v/>
      </c>
      <c r="AH29" s="82">
        <f>AH22+AH23+AH24+AH25+AH26+AH27+AH28</f>
        <v/>
      </c>
      <c r="AI29" s="82">
        <f>AI22+AI23+AI24+AI25+AI26+AI27+AI28</f>
        <v/>
      </c>
      <c r="AJ29" s="82">
        <f>AJ22+AJ23+AJ24+AJ25+AJ26+AJ27+AJ28</f>
        <v/>
      </c>
      <c r="AK29" s="82">
        <f>AK22+AK23+AK24+AK25+AK26+AK27+AK28</f>
        <v/>
      </c>
      <c r="AL29" s="82">
        <f>AL22+AL23+AL24+AL25+AL26+AL27+AL28</f>
        <v/>
      </c>
      <c r="AM29" s="82">
        <f>AM22+AM23+AM24+AM25+AM26+AM27+AM28</f>
        <v/>
      </c>
      <c r="AN29" s="82">
        <f>AN22+AN23+AN24+AN25+AN26+AN27+AN28</f>
        <v/>
      </c>
      <c r="AO29" s="82">
        <f>AO22+AO23+AO24+AO25+AO26+AO27+AO28</f>
        <v/>
      </c>
      <c r="AP29" s="82">
        <f>AP22+AP23+AP24+AP25+AP26+AP27+AP28</f>
        <v/>
      </c>
      <c r="AQ29" s="82">
        <f>AQ22+AQ23+AQ24+AQ25+AQ26+AQ27+AQ28</f>
        <v/>
      </c>
      <c r="AR29" s="82">
        <f>AR22+AR23+AR24+AR25+AR26+AR27+AR28</f>
        <v/>
      </c>
      <c r="AS29" s="82">
        <f>AS22+AS23+AS24+AS25+AS26+AS27+AS28</f>
        <v/>
      </c>
      <c r="AT29" s="82">
        <f>AT22+AT23+AT24+AT25+AT26+AT27+AT28</f>
        <v/>
      </c>
      <c r="AU29" s="82">
        <f>AU22+AU23+AU24+AU25+AU26+AU27+AU28</f>
        <v/>
      </c>
      <c r="AV29" s="82">
        <f>AV22+AV23+AV24+AV25+AV26+AV27+AV28</f>
        <v/>
      </c>
      <c r="AW29" s="82">
        <f>AW22+AW23+AW24+AW25+AW26+AW27+AW28</f>
        <v/>
      </c>
      <c r="AX29" s="82">
        <f>AX22+AX23+AX24+AX25+AX26+AX27+AX28</f>
        <v/>
      </c>
      <c r="AY29" s="82">
        <f>AY22+AY23+AY24+AY25+AY26+AY27+AY28</f>
        <v/>
      </c>
      <c r="AZ29" s="82">
        <f>AZ22+AZ23+AZ24+AZ25+AZ26+AZ27+AZ28</f>
        <v/>
      </c>
      <c r="BA29" s="82">
        <f>BA22+BA23+BA24+BA25+BA26+BA27+BA28</f>
        <v/>
      </c>
      <c r="BB29" s="82">
        <f>BB22+BB23+BB24+BB25+BB26+BB27+BB28</f>
        <v/>
      </c>
      <c r="BC29" s="82">
        <f>BC22+BC23+BC24+BC25+BC26+BC27+BC28</f>
        <v/>
      </c>
      <c r="BD29" s="82">
        <f>BD22+BD23+BD24+BD25+BD26+BD27+BD28</f>
        <v/>
      </c>
      <c r="BE29" s="82">
        <f>BE22+BE23+BE24+BE25+BE26+BE27+BE28</f>
        <v/>
      </c>
      <c r="BF29" s="82">
        <f>BF22+BF23+BF24+BF25+BF26+BF27+BF28</f>
        <v/>
      </c>
      <c r="BG29" s="82">
        <f>BG22+BG23+BG24+BG25+BG26+BG27+BG28</f>
        <v/>
      </c>
      <c r="BH29" s="82">
        <f>BH22+BH23+BH24+BH25+BH26+BH27+BH28</f>
        <v/>
      </c>
      <c r="BI29" s="82">
        <f>BI22+BI23+BI24+BI25+BI26+BI27+BI28</f>
        <v/>
      </c>
      <c r="BJ29" s="82">
        <f>BJ22+BJ23+BJ24+BJ25+BJ26+BJ27+BJ28</f>
        <v/>
      </c>
      <c r="BK29" s="82">
        <f>BK22+BK23+BK24+BK25+BK26+BK27+BK28</f>
        <v/>
      </c>
      <c r="BL29" s="82">
        <f>BL22+BL23+BL24+BL25+BL26+BL27+BL28</f>
        <v/>
      </c>
      <c r="BN29" s="82">
        <f>SUM(E29:P29)</f>
        <v/>
      </c>
      <c r="BO29" s="82">
        <f>SUM(Q29:AB29)</f>
        <v/>
      </c>
      <c r="BP29" s="82">
        <f>SUM(AC29:AN29)</f>
        <v/>
      </c>
      <c r="BQ29" s="82">
        <f>SUM(AO29:AZ29)</f>
        <v/>
      </c>
      <c r="BR29" s="82">
        <f>SUM(BA29:BL29)</f>
        <v/>
      </c>
    </row>
    <row r="30"/>
    <row r="31" ht="22" customHeight="1">
      <c r="A31" s="41" t="inlineStr">
        <is>
          <t xml:space="preserve">  EBITDA СПРАВОЧНО (до амортизации)</t>
        </is>
      </c>
    </row>
    <row r="32">
      <c r="A32" s="51" t="inlineStr">
        <is>
          <t>EBITDA (млн ₽)</t>
        </is>
      </c>
      <c r="B32" s="52" t="inlineStr">
        <is>
          <t>млн ₽</t>
        </is>
      </c>
      <c r="C32" s="53">
        <f>SUM(BN32:BR32)</f>
        <v/>
      </c>
      <c r="D32" s="45" t="inlineStr"/>
      <c r="E32" s="67">
        <f>E18-E29</f>
        <v/>
      </c>
      <c r="F32" s="67">
        <f>F18-F29</f>
        <v/>
      </c>
      <c r="G32" s="67">
        <f>G18-G29</f>
        <v/>
      </c>
      <c r="H32" s="67">
        <f>H18-H29</f>
        <v/>
      </c>
      <c r="I32" s="67">
        <f>I18-I29</f>
        <v/>
      </c>
      <c r="J32" s="67">
        <f>J18-J29</f>
        <v/>
      </c>
      <c r="K32" s="67">
        <f>K18-K29</f>
        <v/>
      </c>
      <c r="L32" s="67">
        <f>L18-L29</f>
        <v/>
      </c>
      <c r="M32" s="67">
        <f>M18-M29</f>
        <v/>
      </c>
      <c r="N32" s="67">
        <f>N18-N29</f>
        <v/>
      </c>
      <c r="O32" s="67">
        <f>O18-O29</f>
        <v/>
      </c>
      <c r="P32" s="67">
        <f>P18-P29</f>
        <v/>
      </c>
      <c r="Q32" s="67">
        <f>Q18-Q29</f>
        <v/>
      </c>
      <c r="R32" s="67">
        <f>R18-R29</f>
        <v/>
      </c>
      <c r="S32" s="67">
        <f>S18-S29</f>
        <v/>
      </c>
      <c r="T32" s="67">
        <f>T18-T29</f>
        <v/>
      </c>
      <c r="U32" s="67">
        <f>U18-U29</f>
        <v/>
      </c>
      <c r="V32" s="67">
        <f>V18-V29</f>
        <v/>
      </c>
      <c r="W32" s="67">
        <f>W18-W29</f>
        <v/>
      </c>
      <c r="X32" s="67">
        <f>X18-X29</f>
        <v/>
      </c>
      <c r="Y32" s="67">
        <f>Y18-Y29</f>
        <v/>
      </c>
      <c r="Z32" s="67">
        <f>Z18-Z29</f>
        <v/>
      </c>
      <c r="AA32" s="67">
        <f>AA18-AA29</f>
        <v/>
      </c>
      <c r="AB32" s="67">
        <f>AB18-AB29</f>
        <v/>
      </c>
      <c r="AC32" s="67">
        <f>AC18-AC29</f>
        <v/>
      </c>
      <c r="AD32" s="67">
        <f>AD18-AD29</f>
        <v/>
      </c>
      <c r="AE32" s="67">
        <f>AE18-AE29</f>
        <v/>
      </c>
      <c r="AF32" s="67">
        <f>AF18-AF29</f>
        <v/>
      </c>
      <c r="AG32" s="67">
        <f>AG18-AG29</f>
        <v/>
      </c>
      <c r="AH32" s="67">
        <f>AH18-AH29</f>
        <v/>
      </c>
      <c r="AI32" s="67">
        <f>AI18-AI29</f>
        <v/>
      </c>
      <c r="AJ32" s="67">
        <f>AJ18-AJ29</f>
        <v/>
      </c>
      <c r="AK32" s="67">
        <f>AK18-AK29</f>
        <v/>
      </c>
      <c r="AL32" s="67">
        <f>AL18-AL29</f>
        <v/>
      </c>
      <c r="AM32" s="67">
        <f>AM18-AM29</f>
        <v/>
      </c>
      <c r="AN32" s="67">
        <f>AN18-AN29</f>
        <v/>
      </c>
      <c r="AO32" s="67">
        <f>AO18-AO29</f>
        <v/>
      </c>
      <c r="AP32" s="67">
        <f>AP18-AP29</f>
        <v/>
      </c>
      <c r="AQ32" s="67">
        <f>AQ18-AQ29</f>
        <v/>
      </c>
      <c r="AR32" s="67">
        <f>AR18-AR29</f>
        <v/>
      </c>
      <c r="AS32" s="67">
        <f>AS18-AS29</f>
        <v/>
      </c>
      <c r="AT32" s="67">
        <f>AT18-AT29</f>
        <v/>
      </c>
      <c r="AU32" s="67">
        <f>AU18-AU29</f>
        <v/>
      </c>
      <c r="AV32" s="67">
        <f>AV18-AV29</f>
        <v/>
      </c>
      <c r="AW32" s="67">
        <f>AW18-AW29</f>
        <v/>
      </c>
      <c r="AX32" s="67">
        <f>AX18-AX29</f>
        <v/>
      </c>
      <c r="AY32" s="67">
        <f>AY18-AY29</f>
        <v/>
      </c>
      <c r="AZ32" s="67">
        <f>AZ18-AZ29</f>
        <v/>
      </c>
      <c r="BA32" s="67">
        <f>BA18-BA29</f>
        <v/>
      </c>
      <c r="BB32" s="67">
        <f>BB18-BB29</f>
        <v/>
      </c>
      <c r="BC32" s="67">
        <f>BC18-BC29</f>
        <v/>
      </c>
      <c r="BD32" s="67">
        <f>BD18-BD29</f>
        <v/>
      </c>
      <c r="BE32" s="67">
        <f>BE18-BE29</f>
        <v/>
      </c>
      <c r="BF32" s="67">
        <f>BF18-BF29</f>
        <v/>
      </c>
      <c r="BG32" s="67">
        <f>BG18-BG29</f>
        <v/>
      </c>
      <c r="BH32" s="67">
        <f>BH18-BH29</f>
        <v/>
      </c>
      <c r="BI32" s="67">
        <f>BI18-BI29</f>
        <v/>
      </c>
      <c r="BJ32" s="67">
        <f>BJ18-BJ29</f>
        <v/>
      </c>
      <c r="BK32" s="67">
        <f>BK18-BK29</f>
        <v/>
      </c>
      <c r="BL32" s="67">
        <f>BL18-BL29</f>
        <v/>
      </c>
      <c r="BN32" s="53">
        <f>SUM(E32:P32)</f>
        <v/>
      </c>
      <c r="BO32" s="53">
        <f>SUM(Q32:AB32)</f>
        <v/>
      </c>
      <c r="BP32" s="53">
        <f>SUM(AC32:AN32)</f>
        <v/>
      </c>
      <c r="BQ32" s="53">
        <f>SUM(AO32:AZ32)</f>
        <v/>
      </c>
      <c r="BR32" s="53">
        <f>SUM(BA32:BL32)</f>
        <v/>
      </c>
    </row>
    <row r="33">
      <c r="A33" s="42" t="inlineStr">
        <is>
          <t>EBITDA %</t>
        </is>
      </c>
      <c r="B33" s="43" t="inlineStr">
        <is>
          <t>%</t>
        </is>
      </c>
      <c r="C33" s="48" t="inlineStr">
        <is>
          <t>—</t>
        </is>
      </c>
      <c r="D33" s="45" t="inlineStr"/>
      <c r="E33" s="83">
        <f>IFERROR(E32/E6,0)</f>
        <v/>
      </c>
      <c r="F33" s="83">
        <f>IFERROR(F32/F6,0)</f>
        <v/>
      </c>
      <c r="G33" s="83">
        <f>IFERROR(G32/G6,0)</f>
        <v/>
      </c>
      <c r="H33" s="83">
        <f>IFERROR(H32/H6,0)</f>
        <v/>
      </c>
      <c r="I33" s="83">
        <f>IFERROR(I32/I6,0)</f>
        <v/>
      </c>
      <c r="J33" s="83">
        <f>IFERROR(J32/J6,0)</f>
        <v/>
      </c>
      <c r="K33" s="83">
        <f>IFERROR(K32/K6,0)</f>
        <v/>
      </c>
      <c r="L33" s="83">
        <f>IFERROR(L32/L6,0)</f>
        <v/>
      </c>
      <c r="M33" s="83">
        <f>IFERROR(M32/M6,0)</f>
        <v/>
      </c>
      <c r="N33" s="83">
        <f>IFERROR(N32/N6,0)</f>
        <v/>
      </c>
      <c r="O33" s="83">
        <f>IFERROR(O32/O6,0)</f>
        <v/>
      </c>
      <c r="P33" s="83">
        <f>IFERROR(P32/P6,0)</f>
        <v/>
      </c>
      <c r="Q33" s="83">
        <f>IFERROR(Q32/Q6,0)</f>
        <v/>
      </c>
      <c r="R33" s="83">
        <f>IFERROR(R32/R6,0)</f>
        <v/>
      </c>
      <c r="S33" s="83">
        <f>IFERROR(S32/S6,0)</f>
        <v/>
      </c>
      <c r="T33" s="83">
        <f>IFERROR(T32/T6,0)</f>
        <v/>
      </c>
      <c r="U33" s="83">
        <f>IFERROR(U32/U6,0)</f>
        <v/>
      </c>
      <c r="V33" s="83">
        <f>IFERROR(V32/V6,0)</f>
        <v/>
      </c>
      <c r="W33" s="83">
        <f>IFERROR(W32/W6,0)</f>
        <v/>
      </c>
      <c r="X33" s="83">
        <f>IFERROR(X32/X6,0)</f>
        <v/>
      </c>
      <c r="Y33" s="83">
        <f>IFERROR(Y32/Y6,0)</f>
        <v/>
      </c>
      <c r="Z33" s="83">
        <f>IFERROR(Z32/Z6,0)</f>
        <v/>
      </c>
      <c r="AA33" s="83">
        <f>IFERROR(AA32/AA6,0)</f>
        <v/>
      </c>
      <c r="AB33" s="83">
        <f>IFERROR(AB32/AB6,0)</f>
        <v/>
      </c>
      <c r="AC33" s="83">
        <f>IFERROR(AC32/AC6,0)</f>
        <v/>
      </c>
      <c r="AD33" s="83">
        <f>IFERROR(AD32/AD6,0)</f>
        <v/>
      </c>
      <c r="AE33" s="83">
        <f>IFERROR(AE32/AE6,0)</f>
        <v/>
      </c>
      <c r="AF33" s="83">
        <f>IFERROR(AF32/AF6,0)</f>
        <v/>
      </c>
      <c r="AG33" s="83">
        <f>IFERROR(AG32/AG6,0)</f>
        <v/>
      </c>
      <c r="AH33" s="83">
        <f>IFERROR(AH32/AH6,0)</f>
        <v/>
      </c>
      <c r="AI33" s="83">
        <f>IFERROR(AI32/AI6,0)</f>
        <v/>
      </c>
      <c r="AJ33" s="83">
        <f>IFERROR(AJ32/AJ6,0)</f>
        <v/>
      </c>
      <c r="AK33" s="83">
        <f>IFERROR(AK32/AK6,0)</f>
        <v/>
      </c>
      <c r="AL33" s="83">
        <f>IFERROR(AL32/AL6,0)</f>
        <v/>
      </c>
      <c r="AM33" s="83">
        <f>IFERROR(AM32/AM6,0)</f>
        <v/>
      </c>
      <c r="AN33" s="83">
        <f>IFERROR(AN32/AN6,0)</f>
        <v/>
      </c>
      <c r="AO33" s="83">
        <f>IFERROR(AO32/AO6,0)</f>
        <v/>
      </c>
      <c r="AP33" s="83">
        <f>IFERROR(AP32/AP6,0)</f>
        <v/>
      </c>
      <c r="AQ33" s="83">
        <f>IFERROR(AQ32/AQ6,0)</f>
        <v/>
      </c>
      <c r="AR33" s="83">
        <f>IFERROR(AR32/AR6,0)</f>
        <v/>
      </c>
      <c r="AS33" s="83">
        <f>IFERROR(AS32/AS6,0)</f>
        <v/>
      </c>
      <c r="AT33" s="83">
        <f>IFERROR(AT32/AT6,0)</f>
        <v/>
      </c>
      <c r="AU33" s="83">
        <f>IFERROR(AU32/AU6,0)</f>
        <v/>
      </c>
      <c r="AV33" s="83">
        <f>IFERROR(AV32/AV6,0)</f>
        <v/>
      </c>
      <c r="AW33" s="83">
        <f>IFERROR(AW32/AW6,0)</f>
        <v/>
      </c>
      <c r="AX33" s="83">
        <f>IFERROR(AX32/AX6,0)</f>
        <v/>
      </c>
      <c r="AY33" s="83">
        <f>IFERROR(AY32/AY6,0)</f>
        <v/>
      </c>
      <c r="AZ33" s="83">
        <f>IFERROR(AZ32/AZ6,0)</f>
        <v/>
      </c>
      <c r="BA33" s="83">
        <f>IFERROR(BA32/BA6,0)</f>
        <v/>
      </c>
      <c r="BB33" s="83">
        <f>IFERROR(BB32/BB6,0)</f>
        <v/>
      </c>
      <c r="BC33" s="83">
        <f>IFERROR(BC32/BC6,0)</f>
        <v/>
      </c>
      <c r="BD33" s="83">
        <f>IFERROR(BD32/BD6,0)</f>
        <v/>
      </c>
      <c r="BE33" s="83">
        <f>IFERROR(BE32/BE6,0)</f>
        <v/>
      </c>
      <c r="BF33" s="83">
        <f>IFERROR(BF32/BF6,0)</f>
        <v/>
      </c>
      <c r="BG33" s="83">
        <f>IFERROR(BG32/BG6,0)</f>
        <v/>
      </c>
      <c r="BH33" s="83">
        <f>IFERROR(BH32/BH6,0)</f>
        <v/>
      </c>
      <c r="BI33" s="83">
        <f>IFERROR(BI32/BI6,0)</f>
        <v/>
      </c>
      <c r="BJ33" s="83">
        <f>IFERROR(BJ32/BJ6,0)</f>
        <v/>
      </c>
      <c r="BK33" s="83">
        <f>IFERROR(BK32/BK6,0)</f>
        <v/>
      </c>
      <c r="BL33" s="83">
        <f>IFERROR(BL32/BL6,0)</f>
        <v/>
      </c>
      <c r="BN33" s="83">
        <f>IFERROR(BN32/BN6,0)</f>
        <v/>
      </c>
      <c r="BO33" s="83">
        <f>IFERROR(BO32/BO6,0)</f>
        <v/>
      </c>
      <c r="BP33" s="83">
        <f>IFERROR(BP32/BP6,0)</f>
        <v/>
      </c>
      <c r="BQ33" s="83">
        <f>IFERROR(BQ32/BQ6,0)</f>
        <v/>
      </c>
      <c r="BR33" s="83">
        <f>IFERROR(BR32/BR6,0)</f>
        <v/>
      </c>
    </row>
  </sheetData>
  <mergeCells count="7">
    <mergeCell ref="A2:BR2"/>
    <mergeCell ref="A5:BR5"/>
    <mergeCell ref="A1:BR1"/>
    <mergeCell ref="A8:BR8"/>
    <mergeCell ref="A31:BR31"/>
    <mergeCell ref="A17:BR17"/>
    <mergeCell ref="A21:BR2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0"/>
    <pageSetUpPr/>
  </sheetPr>
  <dimension ref="A1:BR31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CAPEX &amp; D&amp;A (помесячно) | Амортизационная группа IV</t>
        </is>
      </c>
    </row>
    <row r="2" ht="18" customHeight="1">
      <c r="A2" s="38" t="inlineStr">
        <is>
          <t xml:space="preserve">  🟡 CAPEX/СПИ/PP&amp;E₀ — Input | ⚫ D&amp;A=Gross_нач_мес×(1/(СПИ×12)) | 🔴 D&amp;A и EBIT →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И EBITDA (импорт из COGS &amp; SGA)</t>
        </is>
      </c>
    </row>
    <row r="6">
      <c r="A6" s="51" t="inlineStr">
        <is>
          <t>Выручка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'COGS &amp; SGA'!E6</f>
        <v/>
      </c>
      <c r="F6" s="84">
        <f>'COGS &amp; SGA'!F6</f>
        <v/>
      </c>
      <c r="G6" s="84">
        <f>'COGS &amp; SGA'!G6</f>
        <v/>
      </c>
      <c r="H6" s="84">
        <f>'COGS &amp; SGA'!H6</f>
        <v/>
      </c>
      <c r="I6" s="84">
        <f>'COGS &amp; SGA'!I6</f>
        <v/>
      </c>
      <c r="J6" s="84">
        <f>'COGS &amp; SGA'!J6</f>
        <v/>
      </c>
      <c r="K6" s="84">
        <f>'COGS &amp; SGA'!K6</f>
        <v/>
      </c>
      <c r="L6" s="84">
        <f>'COGS &amp; SGA'!L6</f>
        <v/>
      </c>
      <c r="M6" s="84">
        <f>'COGS &amp; SGA'!M6</f>
        <v/>
      </c>
      <c r="N6" s="84">
        <f>'COGS &amp; SGA'!N6</f>
        <v/>
      </c>
      <c r="O6" s="84">
        <f>'COGS &amp; SGA'!O6</f>
        <v/>
      </c>
      <c r="P6" s="84">
        <f>'COGS &amp; SGA'!P6</f>
        <v/>
      </c>
      <c r="Q6" s="84">
        <f>'COGS &amp; SGA'!Q6</f>
        <v/>
      </c>
      <c r="R6" s="84">
        <f>'COGS &amp; SGA'!R6</f>
        <v/>
      </c>
      <c r="S6" s="84">
        <f>'COGS &amp; SGA'!S6</f>
        <v/>
      </c>
      <c r="T6" s="84">
        <f>'COGS &amp; SGA'!T6</f>
        <v/>
      </c>
      <c r="U6" s="84">
        <f>'COGS &amp; SGA'!U6</f>
        <v/>
      </c>
      <c r="V6" s="84">
        <f>'COGS &amp; SGA'!V6</f>
        <v/>
      </c>
      <c r="W6" s="84">
        <f>'COGS &amp; SGA'!W6</f>
        <v/>
      </c>
      <c r="X6" s="84">
        <f>'COGS &amp; SGA'!X6</f>
        <v/>
      </c>
      <c r="Y6" s="84">
        <f>'COGS &amp; SGA'!Y6</f>
        <v/>
      </c>
      <c r="Z6" s="84">
        <f>'COGS &amp; SGA'!Z6</f>
        <v/>
      </c>
      <c r="AA6" s="84">
        <f>'COGS &amp; SGA'!AA6</f>
        <v/>
      </c>
      <c r="AB6" s="84">
        <f>'COGS &amp; SGA'!AB6</f>
        <v/>
      </c>
      <c r="AC6" s="84">
        <f>'COGS &amp; SGA'!AC6</f>
        <v/>
      </c>
      <c r="AD6" s="84">
        <f>'COGS &amp; SGA'!AD6</f>
        <v/>
      </c>
      <c r="AE6" s="84">
        <f>'COGS &amp; SGA'!AE6</f>
        <v/>
      </c>
      <c r="AF6" s="84">
        <f>'COGS &amp; SGA'!AF6</f>
        <v/>
      </c>
      <c r="AG6" s="84">
        <f>'COGS &amp; SGA'!AG6</f>
        <v/>
      </c>
      <c r="AH6" s="84">
        <f>'COGS &amp; SGA'!AH6</f>
        <v/>
      </c>
      <c r="AI6" s="84">
        <f>'COGS &amp; SGA'!AI6</f>
        <v/>
      </c>
      <c r="AJ6" s="84">
        <f>'COGS &amp; SGA'!AJ6</f>
        <v/>
      </c>
      <c r="AK6" s="84">
        <f>'COGS &amp; SGA'!AK6</f>
        <v/>
      </c>
      <c r="AL6" s="84">
        <f>'COGS &amp; SGA'!AL6</f>
        <v/>
      </c>
      <c r="AM6" s="84">
        <f>'COGS &amp; SGA'!AM6</f>
        <v/>
      </c>
      <c r="AN6" s="84">
        <f>'COGS &amp; SGA'!AN6</f>
        <v/>
      </c>
      <c r="AO6" s="84">
        <f>'COGS &amp; SGA'!AO6</f>
        <v/>
      </c>
      <c r="AP6" s="84">
        <f>'COGS &amp; SGA'!AP6</f>
        <v/>
      </c>
      <c r="AQ6" s="84">
        <f>'COGS &amp; SGA'!AQ6</f>
        <v/>
      </c>
      <c r="AR6" s="84">
        <f>'COGS &amp; SGA'!AR6</f>
        <v/>
      </c>
      <c r="AS6" s="84">
        <f>'COGS &amp; SGA'!AS6</f>
        <v/>
      </c>
      <c r="AT6" s="84">
        <f>'COGS &amp; SGA'!AT6</f>
        <v/>
      </c>
      <c r="AU6" s="84">
        <f>'COGS &amp; SGA'!AU6</f>
        <v/>
      </c>
      <c r="AV6" s="84">
        <f>'COGS &amp; SGA'!AV6</f>
        <v/>
      </c>
      <c r="AW6" s="84">
        <f>'COGS &amp; SGA'!AW6</f>
        <v/>
      </c>
      <c r="AX6" s="84">
        <f>'COGS &amp; SGA'!AX6</f>
        <v/>
      </c>
      <c r="AY6" s="84">
        <f>'COGS &amp; SGA'!AY6</f>
        <v/>
      </c>
      <c r="AZ6" s="84">
        <f>'COGS &amp; SGA'!AZ6</f>
        <v/>
      </c>
      <c r="BA6" s="84">
        <f>'COGS &amp; SGA'!BA6</f>
        <v/>
      </c>
      <c r="BB6" s="84">
        <f>'COGS &amp; SGA'!BB6</f>
        <v/>
      </c>
      <c r="BC6" s="84">
        <f>'COGS &amp; SGA'!BC6</f>
        <v/>
      </c>
      <c r="BD6" s="84">
        <f>'COGS &amp; SGA'!BD6</f>
        <v/>
      </c>
      <c r="BE6" s="84">
        <f>'COGS &amp; SGA'!BE6</f>
        <v/>
      </c>
      <c r="BF6" s="84">
        <f>'COGS &amp; SGA'!BF6</f>
        <v/>
      </c>
      <c r="BG6" s="84">
        <f>'COGS &amp; SGA'!BG6</f>
        <v/>
      </c>
      <c r="BH6" s="84">
        <f>'COGS &amp; SGA'!BH6</f>
        <v/>
      </c>
      <c r="BI6" s="84">
        <f>'COGS &amp; SGA'!BI6</f>
        <v/>
      </c>
      <c r="BJ6" s="84">
        <f>'COGS &amp; SGA'!BJ6</f>
        <v/>
      </c>
      <c r="BK6" s="84">
        <f>'COGS &amp; SGA'!BK6</f>
        <v/>
      </c>
      <c r="BL6" s="84">
        <f>'COGS &amp; SGA'!BL6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>
      <c r="A7" s="51" t="inlineStr">
        <is>
          <t>EBITDA (млн ₽)</t>
        </is>
      </c>
      <c r="B7" s="52" t="inlineStr">
        <is>
          <t>млн ₽</t>
        </is>
      </c>
      <c r="C7" s="53">
        <f>SUM(BN7:BR7)</f>
        <v/>
      </c>
      <c r="D7" s="45" t="inlineStr"/>
      <c r="E7" s="84">
        <f>'COGS &amp; SGA'!E32</f>
        <v/>
      </c>
      <c r="F7" s="84">
        <f>'COGS &amp; SGA'!F32</f>
        <v/>
      </c>
      <c r="G7" s="84">
        <f>'COGS &amp; SGA'!G32</f>
        <v/>
      </c>
      <c r="H7" s="84">
        <f>'COGS &amp; SGA'!H32</f>
        <v/>
      </c>
      <c r="I7" s="84">
        <f>'COGS &amp; SGA'!I32</f>
        <v/>
      </c>
      <c r="J7" s="84">
        <f>'COGS &amp; SGA'!J32</f>
        <v/>
      </c>
      <c r="K7" s="84">
        <f>'COGS &amp; SGA'!K32</f>
        <v/>
      </c>
      <c r="L7" s="84">
        <f>'COGS &amp; SGA'!L32</f>
        <v/>
      </c>
      <c r="M7" s="84">
        <f>'COGS &amp; SGA'!M32</f>
        <v/>
      </c>
      <c r="N7" s="84">
        <f>'COGS &amp; SGA'!N32</f>
        <v/>
      </c>
      <c r="O7" s="84">
        <f>'COGS &amp; SGA'!O32</f>
        <v/>
      </c>
      <c r="P7" s="84">
        <f>'COGS &amp; SGA'!P32</f>
        <v/>
      </c>
      <c r="Q7" s="84">
        <f>'COGS &amp; SGA'!Q32</f>
        <v/>
      </c>
      <c r="R7" s="84">
        <f>'COGS &amp; SGA'!R32</f>
        <v/>
      </c>
      <c r="S7" s="84">
        <f>'COGS &amp; SGA'!S32</f>
        <v/>
      </c>
      <c r="T7" s="84">
        <f>'COGS &amp; SGA'!T32</f>
        <v/>
      </c>
      <c r="U7" s="84">
        <f>'COGS &amp; SGA'!U32</f>
        <v/>
      </c>
      <c r="V7" s="84">
        <f>'COGS &amp; SGA'!V32</f>
        <v/>
      </c>
      <c r="W7" s="84">
        <f>'COGS &amp; SGA'!W32</f>
        <v/>
      </c>
      <c r="X7" s="84">
        <f>'COGS &amp; SGA'!X32</f>
        <v/>
      </c>
      <c r="Y7" s="84">
        <f>'COGS &amp; SGA'!Y32</f>
        <v/>
      </c>
      <c r="Z7" s="84">
        <f>'COGS &amp; SGA'!Z32</f>
        <v/>
      </c>
      <c r="AA7" s="84">
        <f>'COGS &amp; SGA'!AA32</f>
        <v/>
      </c>
      <c r="AB7" s="84">
        <f>'COGS &amp; SGA'!AB32</f>
        <v/>
      </c>
      <c r="AC7" s="84">
        <f>'COGS &amp; SGA'!AC32</f>
        <v/>
      </c>
      <c r="AD7" s="84">
        <f>'COGS &amp; SGA'!AD32</f>
        <v/>
      </c>
      <c r="AE7" s="84">
        <f>'COGS &amp; SGA'!AE32</f>
        <v/>
      </c>
      <c r="AF7" s="84">
        <f>'COGS &amp; SGA'!AF32</f>
        <v/>
      </c>
      <c r="AG7" s="84">
        <f>'COGS &amp; SGA'!AG32</f>
        <v/>
      </c>
      <c r="AH7" s="84">
        <f>'COGS &amp; SGA'!AH32</f>
        <v/>
      </c>
      <c r="AI7" s="84">
        <f>'COGS &amp; SGA'!AI32</f>
        <v/>
      </c>
      <c r="AJ7" s="84">
        <f>'COGS &amp; SGA'!AJ32</f>
        <v/>
      </c>
      <c r="AK7" s="84">
        <f>'COGS &amp; SGA'!AK32</f>
        <v/>
      </c>
      <c r="AL7" s="84">
        <f>'COGS &amp; SGA'!AL32</f>
        <v/>
      </c>
      <c r="AM7" s="84">
        <f>'COGS &amp; SGA'!AM32</f>
        <v/>
      </c>
      <c r="AN7" s="84">
        <f>'COGS &amp; SGA'!AN32</f>
        <v/>
      </c>
      <c r="AO7" s="84">
        <f>'COGS &amp; SGA'!AO32</f>
        <v/>
      </c>
      <c r="AP7" s="84">
        <f>'COGS &amp; SGA'!AP32</f>
        <v/>
      </c>
      <c r="AQ7" s="84">
        <f>'COGS &amp; SGA'!AQ32</f>
        <v/>
      </c>
      <c r="AR7" s="84">
        <f>'COGS &amp; SGA'!AR32</f>
        <v/>
      </c>
      <c r="AS7" s="84">
        <f>'COGS &amp; SGA'!AS32</f>
        <v/>
      </c>
      <c r="AT7" s="84">
        <f>'COGS &amp; SGA'!AT32</f>
        <v/>
      </c>
      <c r="AU7" s="84">
        <f>'COGS &amp; SGA'!AU32</f>
        <v/>
      </c>
      <c r="AV7" s="84">
        <f>'COGS &amp; SGA'!AV32</f>
        <v/>
      </c>
      <c r="AW7" s="84">
        <f>'COGS &amp; SGA'!AW32</f>
        <v/>
      </c>
      <c r="AX7" s="84">
        <f>'COGS &amp; SGA'!AX32</f>
        <v/>
      </c>
      <c r="AY7" s="84">
        <f>'COGS &amp; SGA'!AY32</f>
        <v/>
      </c>
      <c r="AZ7" s="84">
        <f>'COGS &amp; SGA'!AZ32</f>
        <v/>
      </c>
      <c r="BA7" s="84">
        <f>'COGS &amp; SGA'!BA32</f>
        <v/>
      </c>
      <c r="BB7" s="84">
        <f>'COGS &amp; SGA'!BB32</f>
        <v/>
      </c>
      <c r="BC7" s="84">
        <f>'COGS &amp; SGA'!BC32</f>
        <v/>
      </c>
      <c r="BD7" s="84">
        <f>'COGS &amp; SGA'!BD32</f>
        <v/>
      </c>
      <c r="BE7" s="84">
        <f>'COGS &amp; SGA'!BE32</f>
        <v/>
      </c>
      <c r="BF7" s="84">
        <f>'COGS &amp; SGA'!BF32</f>
        <v/>
      </c>
      <c r="BG7" s="84">
        <f>'COGS &amp; SGA'!BG32</f>
        <v/>
      </c>
      <c r="BH7" s="84">
        <f>'COGS &amp; SGA'!BH32</f>
        <v/>
      </c>
      <c r="BI7" s="84">
        <f>'COGS &amp; SGA'!BI32</f>
        <v/>
      </c>
      <c r="BJ7" s="84">
        <f>'COGS &amp; SGA'!BJ32</f>
        <v/>
      </c>
      <c r="BK7" s="84">
        <f>'COGS &amp; SGA'!BK32</f>
        <v/>
      </c>
      <c r="BL7" s="84">
        <f>'COGS &amp; SGA'!BL32</f>
        <v/>
      </c>
      <c r="BN7" s="53">
        <f>SUM(E7:P7)</f>
        <v/>
      </c>
      <c r="BO7" s="53">
        <f>SUM(Q7:AB7)</f>
        <v/>
      </c>
      <c r="BP7" s="53">
        <f>SUM(AC7:AN7)</f>
        <v/>
      </c>
      <c r="BQ7" s="53">
        <f>SUM(AO7:AZ7)</f>
        <v/>
      </c>
      <c r="BR7" s="53">
        <f>SUM(BA7:BL7)</f>
        <v/>
      </c>
    </row>
    <row r="8"/>
    <row r="9" ht="22" customHeight="1">
      <c r="A9" s="62" t="inlineStr">
        <is>
          <t xml:space="preserve">  CAPEX (годовой из Input, распределён по месяцам /12)</t>
        </is>
      </c>
    </row>
    <row r="10">
      <c r="A10" s="42" t="inlineStr">
        <is>
          <t xml:space="preserve">    CAPEX поддерживающий (млн ₽)</t>
        </is>
      </c>
      <c r="B10" s="43" t="inlineStr">
        <is>
          <t>млн ₽</t>
        </is>
      </c>
      <c r="C10" s="53">
        <f>SUM(BN10:BR10)</f>
        <v/>
      </c>
      <c r="D10" s="45" t="inlineStr"/>
      <c r="E10" s="85">
        <f>Input!BN69/12</f>
        <v/>
      </c>
      <c r="F10" s="85">
        <f>Input!BN69/12</f>
        <v/>
      </c>
      <c r="G10" s="85">
        <f>Input!BN69/12</f>
        <v/>
      </c>
      <c r="H10" s="85">
        <f>Input!BN69/12</f>
        <v/>
      </c>
      <c r="I10" s="85">
        <f>Input!BN69/12</f>
        <v/>
      </c>
      <c r="J10" s="85">
        <f>Input!BN69/12</f>
        <v/>
      </c>
      <c r="K10" s="85">
        <f>Input!BN69/12</f>
        <v/>
      </c>
      <c r="L10" s="85">
        <f>Input!BN69/12</f>
        <v/>
      </c>
      <c r="M10" s="85">
        <f>Input!BN69/12</f>
        <v/>
      </c>
      <c r="N10" s="85">
        <f>Input!BN69/12</f>
        <v/>
      </c>
      <c r="O10" s="85">
        <f>Input!BN69/12</f>
        <v/>
      </c>
      <c r="P10" s="85">
        <f>Input!BN69/12</f>
        <v/>
      </c>
      <c r="Q10" s="85">
        <f>Input!BO69/12</f>
        <v/>
      </c>
      <c r="R10" s="85">
        <f>Input!BO69/12</f>
        <v/>
      </c>
      <c r="S10" s="85">
        <f>Input!BO69/12</f>
        <v/>
      </c>
      <c r="T10" s="85">
        <f>Input!BO69/12</f>
        <v/>
      </c>
      <c r="U10" s="85">
        <f>Input!BO69/12</f>
        <v/>
      </c>
      <c r="V10" s="85">
        <f>Input!BO69/12</f>
        <v/>
      </c>
      <c r="W10" s="85">
        <f>Input!BO69/12</f>
        <v/>
      </c>
      <c r="X10" s="85">
        <f>Input!BO69/12</f>
        <v/>
      </c>
      <c r="Y10" s="85">
        <f>Input!BO69/12</f>
        <v/>
      </c>
      <c r="Z10" s="85">
        <f>Input!BO69/12</f>
        <v/>
      </c>
      <c r="AA10" s="85">
        <f>Input!BO69/12</f>
        <v/>
      </c>
      <c r="AB10" s="85">
        <f>Input!BO69/12</f>
        <v/>
      </c>
      <c r="AC10" s="85">
        <f>Input!BP69/12</f>
        <v/>
      </c>
      <c r="AD10" s="85">
        <f>Input!BP69/12</f>
        <v/>
      </c>
      <c r="AE10" s="85">
        <f>Input!BP69/12</f>
        <v/>
      </c>
      <c r="AF10" s="85">
        <f>Input!BP69/12</f>
        <v/>
      </c>
      <c r="AG10" s="85">
        <f>Input!BP69/12</f>
        <v/>
      </c>
      <c r="AH10" s="85">
        <f>Input!BP69/12</f>
        <v/>
      </c>
      <c r="AI10" s="85">
        <f>Input!BP69/12</f>
        <v/>
      </c>
      <c r="AJ10" s="85">
        <f>Input!BP69/12</f>
        <v/>
      </c>
      <c r="AK10" s="85">
        <f>Input!BP69/12</f>
        <v/>
      </c>
      <c r="AL10" s="85">
        <f>Input!BP69/12</f>
        <v/>
      </c>
      <c r="AM10" s="85">
        <f>Input!BP69/12</f>
        <v/>
      </c>
      <c r="AN10" s="85">
        <f>Input!BP69/12</f>
        <v/>
      </c>
      <c r="AO10" s="85">
        <f>Input!BQ69/12</f>
        <v/>
      </c>
      <c r="AP10" s="85">
        <f>Input!BQ69/12</f>
        <v/>
      </c>
      <c r="AQ10" s="85">
        <f>Input!BQ69/12</f>
        <v/>
      </c>
      <c r="AR10" s="85">
        <f>Input!BQ69/12</f>
        <v/>
      </c>
      <c r="AS10" s="85">
        <f>Input!BQ69/12</f>
        <v/>
      </c>
      <c r="AT10" s="85">
        <f>Input!BQ69/12</f>
        <v/>
      </c>
      <c r="AU10" s="85">
        <f>Input!BQ69/12</f>
        <v/>
      </c>
      <c r="AV10" s="85">
        <f>Input!BQ69/12</f>
        <v/>
      </c>
      <c r="AW10" s="85">
        <f>Input!BQ69/12</f>
        <v/>
      </c>
      <c r="AX10" s="85">
        <f>Input!BQ69/12</f>
        <v/>
      </c>
      <c r="AY10" s="85">
        <f>Input!BQ69/12</f>
        <v/>
      </c>
      <c r="AZ10" s="85">
        <f>Input!BQ69/12</f>
        <v/>
      </c>
      <c r="BA10" s="85">
        <f>Input!BR69/12</f>
        <v/>
      </c>
      <c r="BB10" s="85">
        <f>Input!BR69/12</f>
        <v/>
      </c>
      <c r="BC10" s="85">
        <f>Input!BR69/12</f>
        <v/>
      </c>
      <c r="BD10" s="85">
        <f>Input!BR69/12</f>
        <v/>
      </c>
      <c r="BE10" s="85">
        <f>Input!BR69/12</f>
        <v/>
      </c>
      <c r="BF10" s="85">
        <f>Input!BR69/12</f>
        <v/>
      </c>
      <c r="BG10" s="85">
        <f>Input!BR69/12</f>
        <v/>
      </c>
      <c r="BH10" s="85">
        <f>Input!BR69/12</f>
        <v/>
      </c>
      <c r="BI10" s="85">
        <f>Input!BR69/12</f>
        <v/>
      </c>
      <c r="BJ10" s="85">
        <f>Input!BR69/12</f>
        <v/>
      </c>
      <c r="BK10" s="85">
        <f>Input!BR69/12</f>
        <v/>
      </c>
      <c r="BL10" s="85">
        <f>Input!BR69/12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42" t="inlineStr">
        <is>
          <t xml:space="preserve">    CAPEX на рост (млн ₽)</t>
        </is>
      </c>
      <c r="B11" s="43" t="inlineStr">
        <is>
          <t>млн ₽</t>
        </is>
      </c>
      <c r="C11" s="53">
        <f>SUM(BN11:BR11)</f>
        <v/>
      </c>
      <c r="D11" s="45" t="inlineStr"/>
      <c r="E11" s="85">
        <f>Input!BN70/12</f>
        <v/>
      </c>
      <c r="F11" s="85">
        <f>Input!BN70/12</f>
        <v/>
      </c>
      <c r="G11" s="85">
        <f>Input!BN70/12</f>
        <v/>
      </c>
      <c r="H11" s="85">
        <f>Input!BN70/12</f>
        <v/>
      </c>
      <c r="I11" s="85">
        <f>Input!BN70/12</f>
        <v/>
      </c>
      <c r="J11" s="85">
        <f>Input!BN70/12</f>
        <v/>
      </c>
      <c r="K11" s="85">
        <f>Input!BN70/12</f>
        <v/>
      </c>
      <c r="L11" s="85">
        <f>Input!BN70/12</f>
        <v/>
      </c>
      <c r="M11" s="85">
        <f>Input!BN70/12</f>
        <v/>
      </c>
      <c r="N11" s="85">
        <f>Input!BN70/12</f>
        <v/>
      </c>
      <c r="O11" s="85">
        <f>Input!BN70/12</f>
        <v/>
      </c>
      <c r="P11" s="85">
        <f>Input!BN70/12</f>
        <v/>
      </c>
      <c r="Q11" s="85">
        <f>Input!BO70/12</f>
        <v/>
      </c>
      <c r="R11" s="85">
        <f>Input!BO70/12</f>
        <v/>
      </c>
      <c r="S11" s="85">
        <f>Input!BO70/12</f>
        <v/>
      </c>
      <c r="T11" s="85">
        <f>Input!BO70/12</f>
        <v/>
      </c>
      <c r="U11" s="85">
        <f>Input!BO70/12</f>
        <v/>
      </c>
      <c r="V11" s="85">
        <f>Input!BO70/12</f>
        <v/>
      </c>
      <c r="W11" s="85">
        <f>Input!BO70/12</f>
        <v/>
      </c>
      <c r="X11" s="85">
        <f>Input!BO70/12</f>
        <v/>
      </c>
      <c r="Y11" s="85">
        <f>Input!BO70/12</f>
        <v/>
      </c>
      <c r="Z11" s="85">
        <f>Input!BO70/12</f>
        <v/>
      </c>
      <c r="AA11" s="85">
        <f>Input!BO70/12</f>
        <v/>
      </c>
      <c r="AB11" s="85">
        <f>Input!BO70/12</f>
        <v/>
      </c>
      <c r="AC11" s="85">
        <f>Input!BP70/12</f>
        <v/>
      </c>
      <c r="AD11" s="85">
        <f>Input!BP70/12</f>
        <v/>
      </c>
      <c r="AE11" s="85">
        <f>Input!BP70/12</f>
        <v/>
      </c>
      <c r="AF11" s="85">
        <f>Input!BP70/12</f>
        <v/>
      </c>
      <c r="AG11" s="85">
        <f>Input!BP70/12</f>
        <v/>
      </c>
      <c r="AH11" s="85">
        <f>Input!BP70/12</f>
        <v/>
      </c>
      <c r="AI11" s="85">
        <f>Input!BP70/12</f>
        <v/>
      </c>
      <c r="AJ11" s="85">
        <f>Input!BP70/12</f>
        <v/>
      </c>
      <c r="AK11" s="85">
        <f>Input!BP70/12</f>
        <v/>
      </c>
      <c r="AL11" s="85">
        <f>Input!BP70/12</f>
        <v/>
      </c>
      <c r="AM11" s="85">
        <f>Input!BP70/12</f>
        <v/>
      </c>
      <c r="AN11" s="85">
        <f>Input!BP70/12</f>
        <v/>
      </c>
      <c r="AO11" s="85">
        <f>Input!BQ70/12</f>
        <v/>
      </c>
      <c r="AP11" s="85">
        <f>Input!BQ70/12</f>
        <v/>
      </c>
      <c r="AQ11" s="85">
        <f>Input!BQ70/12</f>
        <v/>
      </c>
      <c r="AR11" s="85">
        <f>Input!BQ70/12</f>
        <v/>
      </c>
      <c r="AS11" s="85">
        <f>Input!BQ70/12</f>
        <v/>
      </c>
      <c r="AT11" s="85">
        <f>Input!BQ70/12</f>
        <v/>
      </c>
      <c r="AU11" s="85">
        <f>Input!BQ70/12</f>
        <v/>
      </c>
      <c r="AV11" s="85">
        <f>Input!BQ70/12</f>
        <v/>
      </c>
      <c r="AW11" s="85">
        <f>Input!BQ70/12</f>
        <v/>
      </c>
      <c r="AX11" s="85">
        <f>Input!BQ70/12</f>
        <v/>
      </c>
      <c r="AY11" s="85">
        <f>Input!BQ70/12</f>
        <v/>
      </c>
      <c r="AZ11" s="85">
        <f>Input!BQ70/12</f>
        <v/>
      </c>
      <c r="BA11" s="85">
        <f>Input!BR70/12</f>
        <v/>
      </c>
      <c r="BB11" s="85">
        <f>Input!BR70/12</f>
        <v/>
      </c>
      <c r="BC11" s="85">
        <f>Input!BR70/12</f>
        <v/>
      </c>
      <c r="BD11" s="85">
        <f>Input!BR70/12</f>
        <v/>
      </c>
      <c r="BE11" s="85">
        <f>Input!BR70/12</f>
        <v/>
      </c>
      <c r="BF11" s="85">
        <f>Input!BR70/12</f>
        <v/>
      </c>
      <c r="BG11" s="85">
        <f>Input!BR70/12</f>
        <v/>
      </c>
      <c r="BH11" s="85">
        <f>Input!BR70/12</f>
        <v/>
      </c>
      <c r="BI11" s="85">
        <f>Input!BR70/12</f>
        <v/>
      </c>
      <c r="BJ11" s="85">
        <f>Input!BR70/12</f>
        <v/>
      </c>
      <c r="BK11" s="85">
        <f>Input!BR70/12</f>
        <v/>
      </c>
      <c r="BL11" s="85">
        <f>Input!BR70/12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Капитализированный R&amp;D (млн ₽)</t>
        </is>
      </c>
      <c r="B12" s="43" t="inlineStr">
        <is>
          <t>млн ₽</t>
        </is>
      </c>
      <c r="C12" s="53">
        <f>SUM(BN12:BR12)</f>
        <v/>
      </c>
      <c r="D12" s="45" t="inlineStr"/>
      <c r="E12" s="85">
        <f>Input!BN71/12</f>
        <v/>
      </c>
      <c r="F12" s="85">
        <f>Input!BN71/12</f>
        <v/>
      </c>
      <c r="G12" s="85">
        <f>Input!BN71/12</f>
        <v/>
      </c>
      <c r="H12" s="85">
        <f>Input!BN71/12</f>
        <v/>
      </c>
      <c r="I12" s="85">
        <f>Input!BN71/12</f>
        <v/>
      </c>
      <c r="J12" s="85">
        <f>Input!BN71/12</f>
        <v/>
      </c>
      <c r="K12" s="85">
        <f>Input!BN71/12</f>
        <v/>
      </c>
      <c r="L12" s="85">
        <f>Input!BN71/12</f>
        <v/>
      </c>
      <c r="M12" s="85">
        <f>Input!BN71/12</f>
        <v/>
      </c>
      <c r="N12" s="85">
        <f>Input!BN71/12</f>
        <v/>
      </c>
      <c r="O12" s="85">
        <f>Input!BN71/12</f>
        <v/>
      </c>
      <c r="P12" s="85">
        <f>Input!BN71/12</f>
        <v/>
      </c>
      <c r="Q12" s="85">
        <f>Input!BO71/12</f>
        <v/>
      </c>
      <c r="R12" s="85">
        <f>Input!BO71/12</f>
        <v/>
      </c>
      <c r="S12" s="85">
        <f>Input!BO71/12</f>
        <v/>
      </c>
      <c r="T12" s="85">
        <f>Input!BO71/12</f>
        <v/>
      </c>
      <c r="U12" s="85">
        <f>Input!BO71/12</f>
        <v/>
      </c>
      <c r="V12" s="85">
        <f>Input!BO71/12</f>
        <v/>
      </c>
      <c r="W12" s="85">
        <f>Input!BO71/12</f>
        <v/>
      </c>
      <c r="X12" s="85">
        <f>Input!BO71/12</f>
        <v/>
      </c>
      <c r="Y12" s="85">
        <f>Input!BO71/12</f>
        <v/>
      </c>
      <c r="Z12" s="85">
        <f>Input!BO71/12</f>
        <v/>
      </c>
      <c r="AA12" s="85">
        <f>Input!BO71/12</f>
        <v/>
      </c>
      <c r="AB12" s="85">
        <f>Input!BO71/12</f>
        <v/>
      </c>
      <c r="AC12" s="85">
        <f>Input!BP71/12</f>
        <v/>
      </c>
      <c r="AD12" s="85">
        <f>Input!BP71/12</f>
        <v/>
      </c>
      <c r="AE12" s="85">
        <f>Input!BP71/12</f>
        <v/>
      </c>
      <c r="AF12" s="85">
        <f>Input!BP71/12</f>
        <v/>
      </c>
      <c r="AG12" s="85">
        <f>Input!BP71/12</f>
        <v/>
      </c>
      <c r="AH12" s="85">
        <f>Input!BP71/12</f>
        <v/>
      </c>
      <c r="AI12" s="85">
        <f>Input!BP71/12</f>
        <v/>
      </c>
      <c r="AJ12" s="85">
        <f>Input!BP71/12</f>
        <v/>
      </c>
      <c r="AK12" s="85">
        <f>Input!BP71/12</f>
        <v/>
      </c>
      <c r="AL12" s="85">
        <f>Input!BP71/12</f>
        <v/>
      </c>
      <c r="AM12" s="85">
        <f>Input!BP71/12</f>
        <v/>
      </c>
      <c r="AN12" s="85">
        <f>Input!BP71/12</f>
        <v/>
      </c>
      <c r="AO12" s="85">
        <f>Input!BQ71/12</f>
        <v/>
      </c>
      <c r="AP12" s="85">
        <f>Input!BQ71/12</f>
        <v/>
      </c>
      <c r="AQ12" s="85">
        <f>Input!BQ71/12</f>
        <v/>
      </c>
      <c r="AR12" s="85">
        <f>Input!BQ71/12</f>
        <v/>
      </c>
      <c r="AS12" s="85">
        <f>Input!BQ71/12</f>
        <v/>
      </c>
      <c r="AT12" s="85">
        <f>Input!BQ71/12</f>
        <v/>
      </c>
      <c r="AU12" s="85">
        <f>Input!BQ71/12</f>
        <v/>
      </c>
      <c r="AV12" s="85">
        <f>Input!BQ71/12</f>
        <v/>
      </c>
      <c r="AW12" s="85">
        <f>Input!BQ71/12</f>
        <v/>
      </c>
      <c r="AX12" s="85">
        <f>Input!BQ71/12</f>
        <v/>
      </c>
      <c r="AY12" s="85">
        <f>Input!BQ71/12</f>
        <v/>
      </c>
      <c r="AZ12" s="85">
        <f>Input!BQ71/12</f>
        <v/>
      </c>
      <c r="BA12" s="85">
        <f>Input!BR71/12</f>
        <v/>
      </c>
      <c r="BB12" s="85">
        <f>Input!BR71/12</f>
        <v/>
      </c>
      <c r="BC12" s="85">
        <f>Input!BR71/12</f>
        <v/>
      </c>
      <c r="BD12" s="85">
        <f>Input!BR71/12</f>
        <v/>
      </c>
      <c r="BE12" s="85">
        <f>Input!BR71/12</f>
        <v/>
      </c>
      <c r="BF12" s="85">
        <f>Input!BR71/12</f>
        <v/>
      </c>
      <c r="BG12" s="85">
        <f>Input!BR71/12</f>
        <v/>
      </c>
      <c r="BH12" s="85">
        <f>Input!BR71/12</f>
        <v/>
      </c>
      <c r="BI12" s="85">
        <f>Input!BR71/12</f>
        <v/>
      </c>
      <c r="BJ12" s="85">
        <f>Input!BR71/12</f>
        <v/>
      </c>
      <c r="BK12" s="85">
        <f>Input!BR71/12</f>
        <v/>
      </c>
      <c r="BL12" s="85">
        <f>Input!BR71/12</f>
        <v/>
      </c>
      <c r="BN12" s="53">
        <f>SUM(E12:P12)</f>
        <v/>
      </c>
      <c r="BO12" s="53">
        <f>SUM(Q12:AB12)</f>
        <v/>
      </c>
      <c r="BP12" s="53">
        <f>SUM(AC12:AN12)</f>
        <v/>
      </c>
      <c r="BQ12" s="53">
        <f>SUM(AO12:AZ12)</f>
        <v/>
      </c>
      <c r="BR12" s="53">
        <f>SUM(BA12:BL12)</f>
        <v/>
      </c>
    </row>
    <row r="13">
      <c r="A13" s="80" t="inlineStr">
        <is>
          <t>ИТОГО CAPEX (млн ₽)</t>
        </is>
      </c>
      <c r="B13" s="81" t="inlineStr">
        <is>
          <t>млн ₽</t>
        </is>
      </c>
      <c r="C13" s="82">
        <f>SUM(BN13:BR13)</f>
        <v/>
      </c>
      <c r="D13" s="45" t="inlineStr"/>
      <c r="E13" s="82">
        <f>E10+E11+E12</f>
        <v/>
      </c>
      <c r="F13" s="82">
        <f>F10+F11+F12</f>
        <v/>
      </c>
      <c r="G13" s="82">
        <f>G10+G11+G12</f>
        <v/>
      </c>
      <c r="H13" s="82">
        <f>H10+H11+H12</f>
        <v/>
      </c>
      <c r="I13" s="82">
        <f>I10+I11+I12</f>
        <v/>
      </c>
      <c r="J13" s="82">
        <f>J10+J11+J12</f>
        <v/>
      </c>
      <c r="K13" s="82">
        <f>K10+K11+K12</f>
        <v/>
      </c>
      <c r="L13" s="82">
        <f>L10+L11+L12</f>
        <v/>
      </c>
      <c r="M13" s="82">
        <f>M10+M11+M12</f>
        <v/>
      </c>
      <c r="N13" s="82">
        <f>N10+N11+N12</f>
        <v/>
      </c>
      <c r="O13" s="82">
        <f>O10+O11+O12</f>
        <v/>
      </c>
      <c r="P13" s="82">
        <f>P10+P11+P12</f>
        <v/>
      </c>
      <c r="Q13" s="82">
        <f>Q10+Q11+Q12</f>
        <v/>
      </c>
      <c r="R13" s="82">
        <f>R10+R11+R12</f>
        <v/>
      </c>
      <c r="S13" s="82">
        <f>S10+S11+S12</f>
        <v/>
      </c>
      <c r="T13" s="82">
        <f>T10+T11+T12</f>
        <v/>
      </c>
      <c r="U13" s="82">
        <f>U10+U11+U12</f>
        <v/>
      </c>
      <c r="V13" s="82">
        <f>V10+V11+V12</f>
        <v/>
      </c>
      <c r="W13" s="82">
        <f>W10+W11+W12</f>
        <v/>
      </c>
      <c r="X13" s="82">
        <f>X10+X11+X12</f>
        <v/>
      </c>
      <c r="Y13" s="82">
        <f>Y10+Y11+Y12</f>
        <v/>
      </c>
      <c r="Z13" s="82">
        <f>Z10+Z11+Z12</f>
        <v/>
      </c>
      <c r="AA13" s="82">
        <f>AA10+AA11+AA12</f>
        <v/>
      </c>
      <c r="AB13" s="82">
        <f>AB10+AB11+AB12</f>
        <v/>
      </c>
      <c r="AC13" s="82">
        <f>AC10+AC11+AC12</f>
        <v/>
      </c>
      <c r="AD13" s="82">
        <f>AD10+AD11+AD12</f>
        <v/>
      </c>
      <c r="AE13" s="82">
        <f>AE10+AE11+AE12</f>
        <v/>
      </c>
      <c r="AF13" s="82">
        <f>AF10+AF11+AF12</f>
        <v/>
      </c>
      <c r="AG13" s="82">
        <f>AG10+AG11+AG12</f>
        <v/>
      </c>
      <c r="AH13" s="82">
        <f>AH10+AH11+AH12</f>
        <v/>
      </c>
      <c r="AI13" s="82">
        <f>AI10+AI11+AI12</f>
        <v/>
      </c>
      <c r="AJ13" s="82">
        <f>AJ10+AJ11+AJ12</f>
        <v/>
      </c>
      <c r="AK13" s="82">
        <f>AK10+AK11+AK12</f>
        <v/>
      </c>
      <c r="AL13" s="82">
        <f>AL10+AL11+AL12</f>
        <v/>
      </c>
      <c r="AM13" s="82">
        <f>AM10+AM11+AM12</f>
        <v/>
      </c>
      <c r="AN13" s="82">
        <f>AN10+AN11+AN12</f>
        <v/>
      </c>
      <c r="AO13" s="82">
        <f>AO10+AO11+AO12</f>
        <v/>
      </c>
      <c r="AP13" s="82">
        <f>AP10+AP11+AP12</f>
        <v/>
      </c>
      <c r="AQ13" s="82">
        <f>AQ10+AQ11+AQ12</f>
        <v/>
      </c>
      <c r="AR13" s="82">
        <f>AR10+AR11+AR12</f>
        <v/>
      </c>
      <c r="AS13" s="82">
        <f>AS10+AS11+AS12</f>
        <v/>
      </c>
      <c r="AT13" s="82">
        <f>AT10+AT11+AT12</f>
        <v/>
      </c>
      <c r="AU13" s="82">
        <f>AU10+AU11+AU12</f>
        <v/>
      </c>
      <c r="AV13" s="82">
        <f>AV10+AV11+AV12</f>
        <v/>
      </c>
      <c r="AW13" s="82">
        <f>AW10+AW11+AW12</f>
        <v/>
      </c>
      <c r="AX13" s="82">
        <f>AX10+AX11+AX12</f>
        <v/>
      </c>
      <c r="AY13" s="82">
        <f>AY10+AY11+AY12</f>
        <v/>
      </c>
      <c r="AZ13" s="82">
        <f>AZ10+AZ11+AZ12</f>
        <v/>
      </c>
      <c r="BA13" s="82">
        <f>BA10+BA11+BA12</f>
        <v/>
      </c>
      <c r="BB13" s="82">
        <f>BB10+BB11+BB12</f>
        <v/>
      </c>
      <c r="BC13" s="82">
        <f>BC10+BC11+BC12</f>
        <v/>
      </c>
      <c r="BD13" s="82">
        <f>BD10+BD11+BD12</f>
        <v/>
      </c>
      <c r="BE13" s="82">
        <f>BE10+BE11+BE12</f>
        <v/>
      </c>
      <c r="BF13" s="82">
        <f>BF10+BF11+BF12</f>
        <v/>
      </c>
      <c r="BG13" s="82">
        <f>BG10+BG11+BG12</f>
        <v/>
      </c>
      <c r="BH13" s="82">
        <f>BH10+BH11+BH12</f>
        <v/>
      </c>
      <c r="BI13" s="82">
        <f>BI10+BI11+BI12</f>
        <v/>
      </c>
      <c r="BJ13" s="82">
        <f>BJ10+BJ11+BJ12</f>
        <v/>
      </c>
      <c r="BK13" s="82">
        <f>BK10+BK11+BK12</f>
        <v/>
      </c>
      <c r="BL13" s="82">
        <f>BL10+BL11+BL12</f>
        <v/>
      </c>
      <c r="BN13" s="82">
        <f>SUM(E13:P13)</f>
        <v/>
      </c>
      <c r="BO13" s="82">
        <f>SUM(Q13:AB13)</f>
        <v/>
      </c>
      <c r="BP13" s="82">
        <f>SUM(AC13:AN13)</f>
        <v/>
      </c>
      <c r="BQ13" s="82">
        <f>SUM(AO13:AZ13)</f>
        <v/>
      </c>
      <c r="BR13" s="82">
        <f>SUM(BA13:BL13)</f>
        <v/>
      </c>
    </row>
    <row r="14"/>
    <row r="15" ht="22" customHeight="1">
      <c r="A15" s="41" t="inlineStr">
        <is>
          <t xml:space="preserve">  CORKSCREW — GROSS PP&amp;E (60 звеньев)</t>
        </is>
      </c>
    </row>
    <row r="16">
      <c r="A16" s="65" t="inlineStr">
        <is>
          <t xml:space="preserve">    Gross PP&amp;E — начало периода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86">
        <f>Input!BN75</f>
        <v/>
      </c>
      <c r="F16" s="86">
        <f>E18</f>
        <v/>
      </c>
      <c r="G16" s="86">
        <f>F18</f>
        <v/>
      </c>
      <c r="H16" s="86">
        <f>G18</f>
        <v/>
      </c>
      <c r="I16" s="86">
        <f>H18</f>
        <v/>
      </c>
      <c r="J16" s="86">
        <f>I18</f>
        <v/>
      </c>
      <c r="K16" s="86">
        <f>J18</f>
        <v/>
      </c>
      <c r="L16" s="86">
        <f>K18</f>
        <v/>
      </c>
      <c r="M16" s="86">
        <f>L18</f>
        <v/>
      </c>
      <c r="N16" s="86">
        <f>M18</f>
        <v/>
      </c>
      <c r="O16" s="86">
        <f>N18</f>
        <v/>
      </c>
      <c r="P16" s="86">
        <f>O18</f>
        <v/>
      </c>
      <c r="Q16" s="86">
        <f>P18</f>
        <v/>
      </c>
      <c r="R16" s="86">
        <f>Q18</f>
        <v/>
      </c>
      <c r="S16" s="86">
        <f>R18</f>
        <v/>
      </c>
      <c r="T16" s="86">
        <f>S18</f>
        <v/>
      </c>
      <c r="U16" s="86">
        <f>T18</f>
        <v/>
      </c>
      <c r="V16" s="86">
        <f>U18</f>
        <v/>
      </c>
      <c r="W16" s="86">
        <f>V18</f>
        <v/>
      </c>
      <c r="X16" s="86">
        <f>W18</f>
        <v/>
      </c>
      <c r="Y16" s="86">
        <f>X18</f>
        <v/>
      </c>
      <c r="Z16" s="86">
        <f>Y18</f>
        <v/>
      </c>
      <c r="AA16" s="86">
        <f>Z18</f>
        <v/>
      </c>
      <c r="AB16" s="86">
        <f>AA18</f>
        <v/>
      </c>
      <c r="AC16" s="86">
        <f>AB18</f>
        <v/>
      </c>
      <c r="AD16" s="86">
        <f>AC18</f>
        <v/>
      </c>
      <c r="AE16" s="86">
        <f>AD18</f>
        <v/>
      </c>
      <c r="AF16" s="86">
        <f>AE18</f>
        <v/>
      </c>
      <c r="AG16" s="86">
        <f>AF18</f>
        <v/>
      </c>
      <c r="AH16" s="86">
        <f>AG18</f>
        <v/>
      </c>
      <c r="AI16" s="86">
        <f>AH18</f>
        <v/>
      </c>
      <c r="AJ16" s="86">
        <f>AI18</f>
        <v/>
      </c>
      <c r="AK16" s="86">
        <f>AJ18</f>
        <v/>
      </c>
      <c r="AL16" s="86">
        <f>AK18</f>
        <v/>
      </c>
      <c r="AM16" s="86">
        <f>AL18</f>
        <v/>
      </c>
      <c r="AN16" s="86">
        <f>AM18</f>
        <v/>
      </c>
      <c r="AO16" s="86">
        <f>AN18</f>
        <v/>
      </c>
      <c r="AP16" s="86">
        <f>AO18</f>
        <v/>
      </c>
      <c r="AQ16" s="86">
        <f>AP18</f>
        <v/>
      </c>
      <c r="AR16" s="86">
        <f>AQ18</f>
        <v/>
      </c>
      <c r="AS16" s="86">
        <f>AR18</f>
        <v/>
      </c>
      <c r="AT16" s="86">
        <f>AS18</f>
        <v/>
      </c>
      <c r="AU16" s="86">
        <f>AT18</f>
        <v/>
      </c>
      <c r="AV16" s="86">
        <f>AU18</f>
        <v/>
      </c>
      <c r="AW16" s="86">
        <f>AV18</f>
        <v/>
      </c>
      <c r="AX16" s="86">
        <f>AW18</f>
        <v/>
      </c>
      <c r="AY16" s="86">
        <f>AX18</f>
        <v/>
      </c>
      <c r="AZ16" s="86">
        <f>AY18</f>
        <v/>
      </c>
      <c r="BA16" s="86">
        <f>AZ18</f>
        <v/>
      </c>
      <c r="BB16" s="86">
        <f>BA18</f>
        <v/>
      </c>
      <c r="BC16" s="86">
        <f>BB18</f>
        <v/>
      </c>
      <c r="BD16" s="86">
        <f>BC18</f>
        <v/>
      </c>
      <c r="BE16" s="86">
        <f>BD18</f>
        <v/>
      </c>
      <c r="BF16" s="86">
        <f>BE18</f>
        <v/>
      </c>
      <c r="BG16" s="86">
        <f>BF18</f>
        <v/>
      </c>
      <c r="BH16" s="86">
        <f>BG18</f>
        <v/>
      </c>
      <c r="BI16" s="86">
        <f>BH18</f>
        <v/>
      </c>
      <c r="BJ16" s="86">
        <f>BI18</f>
        <v/>
      </c>
      <c r="BK16" s="86">
        <f>BJ18</f>
        <v/>
      </c>
      <c r="BL16" s="86">
        <f>BK18</f>
        <v/>
      </c>
      <c r="BN16" s="53">
        <f>E16</f>
        <v/>
      </c>
      <c r="BO16" s="53">
        <f>Q16</f>
        <v/>
      </c>
      <c r="BP16" s="53">
        <f>AC16</f>
        <v/>
      </c>
      <c r="BQ16" s="53">
        <f>AO16</f>
        <v/>
      </c>
      <c r="BR16" s="53">
        <f>BA16</f>
        <v/>
      </c>
    </row>
    <row r="17">
      <c r="A17" s="42" t="inlineStr">
        <is>
          <t xml:space="preserve">    + CAPEX месяца</t>
        </is>
      </c>
      <c r="B17" s="43" t="inlineStr">
        <is>
          <t>млн ₽</t>
        </is>
      </c>
      <c r="C17" s="53">
        <f>SUM(BN17:BR17)</f>
        <v/>
      </c>
      <c r="D17" s="45" t="inlineStr"/>
      <c r="E17" s="85">
        <f>E13</f>
        <v/>
      </c>
      <c r="F17" s="85">
        <f>F13</f>
        <v/>
      </c>
      <c r="G17" s="85">
        <f>G13</f>
        <v/>
      </c>
      <c r="H17" s="85">
        <f>H13</f>
        <v/>
      </c>
      <c r="I17" s="85">
        <f>I13</f>
        <v/>
      </c>
      <c r="J17" s="85">
        <f>J13</f>
        <v/>
      </c>
      <c r="K17" s="85">
        <f>K13</f>
        <v/>
      </c>
      <c r="L17" s="85">
        <f>L13</f>
        <v/>
      </c>
      <c r="M17" s="85">
        <f>M13</f>
        <v/>
      </c>
      <c r="N17" s="85">
        <f>N13</f>
        <v/>
      </c>
      <c r="O17" s="85">
        <f>O13</f>
        <v/>
      </c>
      <c r="P17" s="85">
        <f>P13</f>
        <v/>
      </c>
      <c r="Q17" s="85">
        <f>Q13</f>
        <v/>
      </c>
      <c r="R17" s="85">
        <f>R13</f>
        <v/>
      </c>
      <c r="S17" s="85">
        <f>S13</f>
        <v/>
      </c>
      <c r="T17" s="85">
        <f>T13</f>
        <v/>
      </c>
      <c r="U17" s="85">
        <f>U13</f>
        <v/>
      </c>
      <c r="V17" s="85">
        <f>V13</f>
        <v/>
      </c>
      <c r="W17" s="85">
        <f>W13</f>
        <v/>
      </c>
      <c r="X17" s="85">
        <f>X13</f>
        <v/>
      </c>
      <c r="Y17" s="85">
        <f>Y13</f>
        <v/>
      </c>
      <c r="Z17" s="85">
        <f>Z13</f>
        <v/>
      </c>
      <c r="AA17" s="85">
        <f>AA13</f>
        <v/>
      </c>
      <c r="AB17" s="85">
        <f>AB13</f>
        <v/>
      </c>
      <c r="AC17" s="85">
        <f>AC13</f>
        <v/>
      </c>
      <c r="AD17" s="85">
        <f>AD13</f>
        <v/>
      </c>
      <c r="AE17" s="85">
        <f>AE13</f>
        <v/>
      </c>
      <c r="AF17" s="85">
        <f>AF13</f>
        <v/>
      </c>
      <c r="AG17" s="85">
        <f>AG13</f>
        <v/>
      </c>
      <c r="AH17" s="85">
        <f>AH13</f>
        <v/>
      </c>
      <c r="AI17" s="85">
        <f>AI13</f>
        <v/>
      </c>
      <c r="AJ17" s="85">
        <f>AJ13</f>
        <v/>
      </c>
      <c r="AK17" s="85">
        <f>AK13</f>
        <v/>
      </c>
      <c r="AL17" s="85">
        <f>AL13</f>
        <v/>
      </c>
      <c r="AM17" s="85">
        <f>AM13</f>
        <v/>
      </c>
      <c r="AN17" s="85">
        <f>AN13</f>
        <v/>
      </c>
      <c r="AO17" s="85">
        <f>AO13</f>
        <v/>
      </c>
      <c r="AP17" s="85">
        <f>AP13</f>
        <v/>
      </c>
      <c r="AQ17" s="85">
        <f>AQ13</f>
        <v/>
      </c>
      <c r="AR17" s="85">
        <f>AR13</f>
        <v/>
      </c>
      <c r="AS17" s="85">
        <f>AS13</f>
        <v/>
      </c>
      <c r="AT17" s="85">
        <f>AT13</f>
        <v/>
      </c>
      <c r="AU17" s="85">
        <f>AU13</f>
        <v/>
      </c>
      <c r="AV17" s="85">
        <f>AV13</f>
        <v/>
      </c>
      <c r="AW17" s="85">
        <f>AW13</f>
        <v/>
      </c>
      <c r="AX17" s="85">
        <f>AX13</f>
        <v/>
      </c>
      <c r="AY17" s="85">
        <f>AY13</f>
        <v/>
      </c>
      <c r="AZ17" s="85">
        <f>AZ13</f>
        <v/>
      </c>
      <c r="BA17" s="85">
        <f>BA13</f>
        <v/>
      </c>
      <c r="BB17" s="85">
        <f>BB13</f>
        <v/>
      </c>
      <c r="BC17" s="85">
        <f>BC13</f>
        <v/>
      </c>
      <c r="BD17" s="85">
        <f>BD13</f>
        <v/>
      </c>
      <c r="BE17" s="85">
        <f>BE13</f>
        <v/>
      </c>
      <c r="BF17" s="85">
        <f>BF13</f>
        <v/>
      </c>
      <c r="BG17" s="85">
        <f>BG13</f>
        <v/>
      </c>
      <c r="BH17" s="85">
        <f>BH13</f>
        <v/>
      </c>
      <c r="BI17" s="85">
        <f>BI13</f>
        <v/>
      </c>
      <c r="BJ17" s="85">
        <f>BJ13</f>
        <v/>
      </c>
      <c r="BK17" s="85">
        <f>BK13</f>
        <v/>
      </c>
      <c r="BL17" s="85">
        <f>BL13</f>
        <v/>
      </c>
      <c r="BN17" s="53">
        <f>SUM(E17:P17)</f>
        <v/>
      </c>
      <c r="BO17" s="53">
        <f>SUM(Q17:AB17)</f>
        <v/>
      </c>
      <c r="BP17" s="53">
        <f>SUM(AC17:AN17)</f>
        <v/>
      </c>
      <c r="BQ17" s="53">
        <f>SUM(AO17:AZ17)</f>
        <v/>
      </c>
      <c r="BR17" s="53">
        <f>SUM(BA17:BL17)</f>
        <v/>
      </c>
    </row>
    <row r="18">
      <c r="A18" s="51" t="inlineStr">
        <is>
          <t xml:space="preserve">    Gross PP&amp;E — конец периода</t>
        </is>
      </c>
      <c r="B18" s="52" t="inlineStr">
        <is>
          <t>млн ₽</t>
        </is>
      </c>
      <c r="C18" s="48" t="inlineStr">
        <is>
          <t>—</t>
        </is>
      </c>
      <c r="D18" s="45" t="inlineStr"/>
      <c r="E18" s="67">
        <f>E16+E17</f>
        <v/>
      </c>
      <c r="F18" s="67">
        <f>F16+F17</f>
        <v/>
      </c>
      <c r="G18" s="67">
        <f>G16+G17</f>
        <v/>
      </c>
      <c r="H18" s="67">
        <f>H16+H17</f>
        <v/>
      </c>
      <c r="I18" s="67">
        <f>I16+I17</f>
        <v/>
      </c>
      <c r="J18" s="67">
        <f>J16+J17</f>
        <v/>
      </c>
      <c r="K18" s="67">
        <f>K16+K17</f>
        <v/>
      </c>
      <c r="L18" s="67">
        <f>L16+L17</f>
        <v/>
      </c>
      <c r="M18" s="67">
        <f>M16+M17</f>
        <v/>
      </c>
      <c r="N18" s="67">
        <f>N16+N17</f>
        <v/>
      </c>
      <c r="O18" s="67">
        <f>O16+O17</f>
        <v/>
      </c>
      <c r="P18" s="67">
        <f>P16+P17</f>
        <v/>
      </c>
      <c r="Q18" s="67">
        <f>Q16+Q17</f>
        <v/>
      </c>
      <c r="R18" s="67">
        <f>R16+R17</f>
        <v/>
      </c>
      <c r="S18" s="67">
        <f>S16+S17</f>
        <v/>
      </c>
      <c r="T18" s="67">
        <f>T16+T17</f>
        <v/>
      </c>
      <c r="U18" s="67">
        <f>U16+U17</f>
        <v/>
      </c>
      <c r="V18" s="67">
        <f>V16+V17</f>
        <v/>
      </c>
      <c r="W18" s="67">
        <f>W16+W17</f>
        <v/>
      </c>
      <c r="X18" s="67">
        <f>X16+X17</f>
        <v/>
      </c>
      <c r="Y18" s="67">
        <f>Y16+Y17</f>
        <v/>
      </c>
      <c r="Z18" s="67">
        <f>Z16+Z17</f>
        <v/>
      </c>
      <c r="AA18" s="67">
        <f>AA16+AA17</f>
        <v/>
      </c>
      <c r="AB18" s="67">
        <f>AB16+AB17</f>
        <v/>
      </c>
      <c r="AC18" s="67">
        <f>AC16+AC17</f>
        <v/>
      </c>
      <c r="AD18" s="67">
        <f>AD16+AD17</f>
        <v/>
      </c>
      <c r="AE18" s="67">
        <f>AE16+AE17</f>
        <v/>
      </c>
      <c r="AF18" s="67">
        <f>AF16+AF17</f>
        <v/>
      </c>
      <c r="AG18" s="67">
        <f>AG16+AG17</f>
        <v/>
      </c>
      <c r="AH18" s="67">
        <f>AH16+AH17</f>
        <v/>
      </c>
      <c r="AI18" s="67">
        <f>AI16+AI17</f>
        <v/>
      </c>
      <c r="AJ18" s="67">
        <f>AJ16+AJ17</f>
        <v/>
      </c>
      <c r="AK18" s="67">
        <f>AK16+AK17</f>
        <v/>
      </c>
      <c r="AL18" s="67">
        <f>AL16+AL17</f>
        <v/>
      </c>
      <c r="AM18" s="67">
        <f>AM16+AM17</f>
        <v/>
      </c>
      <c r="AN18" s="67">
        <f>AN16+AN17</f>
        <v/>
      </c>
      <c r="AO18" s="67">
        <f>AO16+AO17</f>
        <v/>
      </c>
      <c r="AP18" s="67">
        <f>AP16+AP17</f>
        <v/>
      </c>
      <c r="AQ18" s="67">
        <f>AQ16+AQ17</f>
        <v/>
      </c>
      <c r="AR18" s="67">
        <f>AR16+AR17</f>
        <v/>
      </c>
      <c r="AS18" s="67">
        <f>AS16+AS17</f>
        <v/>
      </c>
      <c r="AT18" s="67">
        <f>AT16+AT17</f>
        <v/>
      </c>
      <c r="AU18" s="67">
        <f>AU16+AU17</f>
        <v/>
      </c>
      <c r="AV18" s="67">
        <f>AV16+AV17</f>
        <v/>
      </c>
      <c r="AW18" s="67">
        <f>AW16+AW17</f>
        <v/>
      </c>
      <c r="AX18" s="67">
        <f>AX16+AX17</f>
        <v/>
      </c>
      <c r="AY18" s="67">
        <f>AY16+AY17</f>
        <v/>
      </c>
      <c r="AZ18" s="67">
        <f>AZ16+AZ17</f>
        <v/>
      </c>
      <c r="BA18" s="67">
        <f>BA16+BA17</f>
        <v/>
      </c>
      <c r="BB18" s="67">
        <f>BB16+BB17</f>
        <v/>
      </c>
      <c r="BC18" s="67">
        <f>BC16+BC17</f>
        <v/>
      </c>
      <c r="BD18" s="67">
        <f>BD16+BD17</f>
        <v/>
      </c>
      <c r="BE18" s="67">
        <f>BE16+BE17</f>
        <v/>
      </c>
      <c r="BF18" s="67">
        <f>BF16+BF17</f>
        <v/>
      </c>
      <c r="BG18" s="67">
        <f>BG16+BG17</f>
        <v/>
      </c>
      <c r="BH18" s="67">
        <f>BH16+BH17</f>
        <v/>
      </c>
      <c r="BI18" s="67">
        <f>BI16+BI17</f>
        <v/>
      </c>
      <c r="BJ18" s="67">
        <f>BJ16+BJ17</f>
        <v/>
      </c>
      <c r="BK18" s="67">
        <f>BK16+BK17</f>
        <v/>
      </c>
      <c r="BL18" s="67">
        <f>BL16+BL17</f>
        <v/>
      </c>
      <c r="BN18" s="53">
        <f>P18</f>
        <v/>
      </c>
      <c r="BO18" s="53">
        <f>AB18</f>
        <v/>
      </c>
      <c r="BP18" s="53">
        <f>AN18</f>
        <v/>
      </c>
      <c r="BQ18" s="53">
        <f>AZ18</f>
        <v/>
      </c>
      <c r="BR18" s="53">
        <f>BL18</f>
        <v/>
      </c>
    </row>
    <row r="19"/>
    <row r="20" ht="22" customHeight="1">
      <c r="A20" s="41" t="inlineStr">
        <is>
          <t xml:space="preserve">  CORKSCREW — D&amp;A И НАКОПЛЕННАЯ АМОРТИЗАЦИЯ</t>
        </is>
      </c>
    </row>
    <row r="21">
      <c r="A21" s="87" t="inlineStr">
        <is>
          <t xml:space="preserve">    D&amp;A = Gross_PP&amp;E_нач × (1/(СПИ×12))  [линейно помесячно]</t>
        </is>
      </c>
      <c r="B21" s="52" t="inlineStr">
        <is>
          <t>млн ₽</t>
        </is>
      </c>
      <c r="C21" s="53">
        <f>SUM(BN21:BR21)</f>
        <v/>
      </c>
      <c r="D21" s="45" t="inlineStr"/>
      <c r="E21" s="67">
        <f>IFERROR(E16*(1/(Input!BN74*12)),0)</f>
        <v/>
      </c>
      <c r="F21" s="67">
        <f>IFERROR(F16*(1/(Input!BN74*12)),0)</f>
        <v/>
      </c>
      <c r="G21" s="67">
        <f>IFERROR(G16*(1/(Input!BN74*12)),0)</f>
        <v/>
      </c>
      <c r="H21" s="67">
        <f>IFERROR(H16*(1/(Input!BN74*12)),0)</f>
        <v/>
      </c>
      <c r="I21" s="67">
        <f>IFERROR(I16*(1/(Input!BN74*12)),0)</f>
        <v/>
      </c>
      <c r="J21" s="67">
        <f>IFERROR(J16*(1/(Input!BN74*12)),0)</f>
        <v/>
      </c>
      <c r="K21" s="67">
        <f>IFERROR(K16*(1/(Input!BN74*12)),0)</f>
        <v/>
      </c>
      <c r="L21" s="67">
        <f>IFERROR(L16*(1/(Input!BN74*12)),0)</f>
        <v/>
      </c>
      <c r="M21" s="67">
        <f>IFERROR(M16*(1/(Input!BN74*12)),0)</f>
        <v/>
      </c>
      <c r="N21" s="67">
        <f>IFERROR(N16*(1/(Input!BN74*12)),0)</f>
        <v/>
      </c>
      <c r="O21" s="67">
        <f>IFERROR(O16*(1/(Input!BN74*12)),0)</f>
        <v/>
      </c>
      <c r="P21" s="67">
        <f>IFERROR(P16*(1/(Input!BN74*12)),0)</f>
        <v/>
      </c>
      <c r="Q21" s="67">
        <f>IFERROR(Q16*(1/(Input!BN74*12)),0)</f>
        <v/>
      </c>
      <c r="R21" s="67">
        <f>IFERROR(R16*(1/(Input!BN74*12)),0)</f>
        <v/>
      </c>
      <c r="S21" s="67">
        <f>IFERROR(S16*(1/(Input!BN74*12)),0)</f>
        <v/>
      </c>
      <c r="T21" s="67">
        <f>IFERROR(T16*(1/(Input!BN74*12)),0)</f>
        <v/>
      </c>
      <c r="U21" s="67">
        <f>IFERROR(U16*(1/(Input!BN74*12)),0)</f>
        <v/>
      </c>
      <c r="V21" s="67">
        <f>IFERROR(V16*(1/(Input!BN74*12)),0)</f>
        <v/>
      </c>
      <c r="W21" s="67">
        <f>IFERROR(W16*(1/(Input!BN74*12)),0)</f>
        <v/>
      </c>
      <c r="X21" s="67">
        <f>IFERROR(X16*(1/(Input!BN74*12)),0)</f>
        <v/>
      </c>
      <c r="Y21" s="67">
        <f>IFERROR(Y16*(1/(Input!BN74*12)),0)</f>
        <v/>
      </c>
      <c r="Z21" s="67">
        <f>IFERROR(Z16*(1/(Input!BN74*12)),0)</f>
        <v/>
      </c>
      <c r="AA21" s="67">
        <f>IFERROR(AA16*(1/(Input!BN74*12)),0)</f>
        <v/>
      </c>
      <c r="AB21" s="67">
        <f>IFERROR(AB16*(1/(Input!BN74*12)),0)</f>
        <v/>
      </c>
      <c r="AC21" s="67">
        <f>IFERROR(AC16*(1/(Input!BN74*12)),0)</f>
        <v/>
      </c>
      <c r="AD21" s="67">
        <f>IFERROR(AD16*(1/(Input!BN74*12)),0)</f>
        <v/>
      </c>
      <c r="AE21" s="67">
        <f>IFERROR(AE16*(1/(Input!BN74*12)),0)</f>
        <v/>
      </c>
      <c r="AF21" s="67">
        <f>IFERROR(AF16*(1/(Input!BN74*12)),0)</f>
        <v/>
      </c>
      <c r="AG21" s="67">
        <f>IFERROR(AG16*(1/(Input!BN74*12)),0)</f>
        <v/>
      </c>
      <c r="AH21" s="67">
        <f>IFERROR(AH16*(1/(Input!BN74*12)),0)</f>
        <v/>
      </c>
      <c r="AI21" s="67">
        <f>IFERROR(AI16*(1/(Input!BN74*12)),0)</f>
        <v/>
      </c>
      <c r="AJ21" s="67">
        <f>IFERROR(AJ16*(1/(Input!BN74*12)),0)</f>
        <v/>
      </c>
      <c r="AK21" s="67">
        <f>IFERROR(AK16*(1/(Input!BN74*12)),0)</f>
        <v/>
      </c>
      <c r="AL21" s="67">
        <f>IFERROR(AL16*(1/(Input!BN74*12)),0)</f>
        <v/>
      </c>
      <c r="AM21" s="67">
        <f>IFERROR(AM16*(1/(Input!BN74*12)),0)</f>
        <v/>
      </c>
      <c r="AN21" s="67">
        <f>IFERROR(AN16*(1/(Input!BN74*12)),0)</f>
        <v/>
      </c>
      <c r="AO21" s="67">
        <f>IFERROR(AO16*(1/(Input!BN74*12)),0)</f>
        <v/>
      </c>
      <c r="AP21" s="67">
        <f>IFERROR(AP16*(1/(Input!BN74*12)),0)</f>
        <v/>
      </c>
      <c r="AQ21" s="67">
        <f>IFERROR(AQ16*(1/(Input!BN74*12)),0)</f>
        <v/>
      </c>
      <c r="AR21" s="67">
        <f>IFERROR(AR16*(1/(Input!BN74*12)),0)</f>
        <v/>
      </c>
      <c r="AS21" s="67">
        <f>IFERROR(AS16*(1/(Input!BN74*12)),0)</f>
        <v/>
      </c>
      <c r="AT21" s="67">
        <f>IFERROR(AT16*(1/(Input!BN74*12)),0)</f>
        <v/>
      </c>
      <c r="AU21" s="67">
        <f>IFERROR(AU16*(1/(Input!BN74*12)),0)</f>
        <v/>
      </c>
      <c r="AV21" s="67">
        <f>IFERROR(AV16*(1/(Input!BN74*12)),0)</f>
        <v/>
      </c>
      <c r="AW21" s="67">
        <f>IFERROR(AW16*(1/(Input!BN74*12)),0)</f>
        <v/>
      </c>
      <c r="AX21" s="67">
        <f>IFERROR(AX16*(1/(Input!BN74*12)),0)</f>
        <v/>
      </c>
      <c r="AY21" s="67">
        <f>IFERROR(AY16*(1/(Input!BN74*12)),0)</f>
        <v/>
      </c>
      <c r="AZ21" s="67">
        <f>IFERROR(AZ16*(1/(Input!BN74*12)),0)</f>
        <v/>
      </c>
      <c r="BA21" s="67">
        <f>IFERROR(BA16*(1/(Input!BN74*12)),0)</f>
        <v/>
      </c>
      <c r="BB21" s="67">
        <f>IFERROR(BB16*(1/(Input!BN74*12)),0)</f>
        <v/>
      </c>
      <c r="BC21" s="67">
        <f>IFERROR(BC16*(1/(Input!BN74*12)),0)</f>
        <v/>
      </c>
      <c r="BD21" s="67">
        <f>IFERROR(BD16*(1/(Input!BN74*12)),0)</f>
        <v/>
      </c>
      <c r="BE21" s="67">
        <f>IFERROR(BE16*(1/(Input!BN74*12)),0)</f>
        <v/>
      </c>
      <c r="BF21" s="67">
        <f>IFERROR(BF16*(1/(Input!BN74*12)),0)</f>
        <v/>
      </c>
      <c r="BG21" s="67">
        <f>IFERROR(BG16*(1/(Input!BN74*12)),0)</f>
        <v/>
      </c>
      <c r="BH21" s="67">
        <f>IFERROR(BH16*(1/(Input!BN74*12)),0)</f>
        <v/>
      </c>
      <c r="BI21" s="67">
        <f>IFERROR(BI16*(1/(Input!BN74*12)),0)</f>
        <v/>
      </c>
      <c r="BJ21" s="67">
        <f>IFERROR(BJ16*(1/(Input!BN74*12)),0)</f>
        <v/>
      </c>
      <c r="BK21" s="67">
        <f>IFERROR(BK16*(1/(Input!BN74*12)),0)</f>
        <v/>
      </c>
      <c r="BL21" s="67">
        <f>IFERROR(BL16*(1/(Input!BN74*12)),0)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65" t="inlineStr">
        <is>
          <t xml:space="preserve">    Накопл. амортизация — начало</t>
        </is>
      </c>
      <c r="B22" s="43" t="inlineStr">
        <is>
          <t>млн ₽</t>
        </is>
      </c>
      <c r="C22" s="48" t="inlineStr">
        <is>
          <t>—</t>
        </is>
      </c>
      <c r="D22" s="45" t="inlineStr"/>
      <c r="E22" s="86">
        <f>Input!BN76</f>
        <v/>
      </c>
      <c r="F22" s="86">
        <f>E23</f>
        <v/>
      </c>
      <c r="G22" s="86">
        <f>F23</f>
        <v/>
      </c>
      <c r="H22" s="86">
        <f>G23</f>
        <v/>
      </c>
      <c r="I22" s="86">
        <f>H23</f>
        <v/>
      </c>
      <c r="J22" s="86">
        <f>I23</f>
        <v/>
      </c>
      <c r="K22" s="86">
        <f>J23</f>
        <v/>
      </c>
      <c r="L22" s="86">
        <f>K23</f>
        <v/>
      </c>
      <c r="M22" s="86">
        <f>L23</f>
        <v/>
      </c>
      <c r="N22" s="86">
        <f>M23</f>
        <v/>
      </c>
      <c r="O22" s="86">
        <f>N23</f>
        <v/>
      </c>
      <c r="P22" s="86">
        <f>O23</f>
        <v/>
      </c>
      <c r="Q22" s="86">
        <f>P23</f>
        <v/>
      </c>
      <c r="R22" s="86">
        <f>Q23</f>
        <v/>
      </c>
      <c r="S22" s="86">
        <f>R23</f>
        <v/>
      </c>
      <c r="T22" s="86">
        <f>S23</f>
        <v/>
      </c>
      <c r="U22" s="86">
        <f>T23</f>
        <v/>
      </c>
      <c r="V22" s="86">
        <f>U23</f>
        <v/>
      </c>
      <c r="W22" s="86">
        <f>V23</f>
        <v/>
      </c>
      <c r="X22" s="86">
        <f>W23</f>
        <v/>
      </c>
      <c r="Y22" s="86">
        <f>X23</f>
        <v/>
      </c>
      <c r="Z22" s="86">
        <f>Y23</f>
        <v/>
      </c>
      <c r="AA22" s="86">
        <f>Z23</f>
        <v/>
      </c>
      <c r="AB22" s="86">
        <f>AA23</f>
        <v/>
      </c>
      <c r="AC22" s="86">
        <f>AB23</f>
        <v/>
      </c>
      <c r="AD22" s="86">
        <f>AC23</f>
        <v/>
      </c>
      <c r="AE22" s="86">
        <f>AD23</f>
        <v/>
      </c>
      <c r="AF22" s="86">
        <f>AE23</f>
        <v/>
      </c>
      <c r="AG22" s="86">
        <f>AF23</f>
        <v/>
      </c>
      <c r="AH22" s="86">
        <f>AG23</f>
        <v/>
      </c>
      <c r="AI22" s="86">
        <f>AH23</f>
        <v/>
      </c>
      <c r="AJ22" s="86">
        <f>AI23</f>
        <v/>
      </c>
      <c r="AK22" s="86">
        <f>AJ23</f>
        <v/>
      </c>
      <c r="AL22" s="86">
        <f>AK23</f>
        <v/>
      </c>
      <c r="AM22" s="86">
        <f>AL23</f>
        <v/>
      </c>
      <c r="AN22" s="86">
        <f>AM23</f>
        <v/>
      </c>
      <c r="AO22" s="86">
        <f>AN23</f>
        <v/>
      </c>
      <c r="AP22" s="86">
        <f>AO23</f>
        <v/>
      </c>
      <c r="AQ22" s="86">
        <f>AP23</f>
        <v/>
      </c>
      <c r="AR22" s="86">
        <f>AQ23</f>
        <v/>
      </c>
      <c r="AS22" s="86">
        <f>AR23</f>
        <v/>
      </c>
      <c r="AT22" s="86">
        <f>AS23</f>
        <v/>
      </c>
      <c r="AU22" s="86">
        <f>AT23</f>
        <v/>
      </c>
      <c r="AV22" s="86">
        <f>AU23</f>
        <v/>
      </c>
      <c r="AW22" s="86">
        <f>AV23</f>
        <v/>
      </c>
      <c r="AX22" s="86">
        <f>AW23</f>
        <v/>
      </c>
      <c r="AY22" s="86">
        <f>AX23</f>
        <v/>
      </c>
      <c r="AZ22" s="86">
        <f>AY23</f>
        <v/>
      </c>
      <c r="BA22" s="86">
        <f>AZ23</f>
        <v/>
      </c>
      <c r="BB22" s="86">
        <f>BA23</f>
        <v/>
      </c>
      <c r="BC22" s="86">
        <f>BB23</f>
        <v/>
      </c>
      <c r="BD22" s="86">
        <f>BC23</f>
        <v/>
      </c>
      <c r="BE22" s="86">
        <f>BD23</f>
        <v/>
      </c>
      <c r="BF22" s="86">
        <f>BE23</f>
        <v/>
      </c>
      <c r="BG22" s="86">
        <f>BF23</f>
        <v/>
      </c>
      <c r="BH22" s="86">
        <f>BG23</f>
        <v/>
      </c>
      <c r="BI22" s="86">
        <f>BH23</f>
        <v/>
      </c>
      <c r="BJ22" s="86">
        <f>BI23</f>
        <v/>
      </c>
      <c r="BK22" s="86">
        <f>BJ23</f>
        <v/>
      </c>
      <c r="BL22" s="86">
        <f>BK23</f>
        <v/>
      </c>
      <c r="BN22" s="53">
        <f>E22</f>
        <v/>
      </c>
      <c r="BO22" s="53">
        <f>Q22</f>
        <v/>
      </c>
      <c r="BP22" s="53">
        <f>AC22</f>
        <v/>
      </c>
      <c r="BQ22" s="53">
        <f>AO22</f>
        <v/>
      </c>
      <c r="BR22" s="53">
        <f>BA22</f>
        <v/>
      </c>
    </row>
    <row r="23">
      <c r="A23" s="51" t="inlineStr">
        <is>
          <t xml:space="preserve">    Накопл. амортизация — конец</t>
        </is>
      </c>
      <c r="B23" s="52" t="inlineStr">
        <is>
          <t>млн ₽</t>
        </is>
      </c>
      <c r="C23" s="48" t="inlineStr">
        <is>
          <t>—</t>
        </is>
      </c>
      <c r="D23" s="45" t="inlineStr"/>
      <c r="E23" s="67">
        <f>E22+E21</f>
        <v/>
      </c>
      <c r="F23" s="67">
        <f>F22+F21</f>
        <v/>
      </c>
      <c r="G23" s="67">
        <f>G22+G21</f>
        <v/>
      </c>
      <c r="H23" s="67">
        <f>H22+H21</f>
        <v/>
      </c>
      <c r="I23" s="67">
        <f>I22+I21</f>
        <v/>
      </c>
      <c r="J23" s="67">
        <f>J22+J21</f>
        <v/>
      </c>
      <c r="K23" s="67">
        <f>K22+K21</f>
        <v/>
      </c>
      <c r="L23" s="67">
        <f>L22+L21</f>
        <v/>
      </c>
      <c r="M23" s="67">
        <f>M22+M21</f>
        <v/>
      </c>
      <c r="N23" s="67">
        <f>N22+N21</f>
        <v/>
      </c>
      <c r="O23" s="67">
        <f>O22+O21</f>
        <v/>
      </c>
      <c r="P23" s="67">
        <f>P22+P21</f>
        <v/>
      </c>
      <c r="Q23" s="67">
        <f>Q22+Q21</f>
        <v/>
      </c>
      <c r="R23" s="67">
        <f>R22+R21</f>
        <v/>
      </c>
      <c r="S23" s="67">
        <f>S22+S21</f>
        <v/>
      </c>
      <c r="T23" s="67">
        <f>T22+T21</f>
        <v/>
      </c>
      <c r="U23" s="67">
        <f>U22+U21</f>
        <v/>
      </c>
      <c r="V23" s="67">
        <f>V22+V21</f>
        <v/>
      </c>
      <c r="W23" s="67">
        <f>W22+W21</f>
        <v/>
      </c>
      <c r="X23" s="67">
        <f>X22+X21</f>
        <v/>
      </c>
      <c r="Y23" s="67">
        <f>Y22+Y21</f>
        <v/>
      </c>
      <c r="Z23" s="67">
        <f>Z22+Z21</f>
        <v/>
      </c>
      <c r="AA23" s="67">
        <f>AA22+AA21</f>
        <v/>
      </c>
      <c r="AB23" s="67">
        <f>AB22+AB21</f>
        <v/>
      </c>
      <c r="AC23" s="67">
        <f>AC22+AC21</f>
        <v/>
      </c>
      <c r="AD23" s="67">
        <f>AD22+AD21</f>
        <v/>
      </c>
      <c r="AE23" s="67">
        <f>AE22+AE21</f>
        <v/>
      </c>
      <c r="AF23" s="67">
        <f>AF22+AF21</f>
        <v/>
      </c>
      <c r="AG23" s="67">
        <f>AG22+AG21</f>
        <v/>
      </c>
      <c r="AH23" s="67">
        <f>AH22+AH21</f>
        <v/>
      </c>
      <c r="AI23" s="67">
        <f>AI22+AI21</f>
        <v/>
      </c>
      <c r="AJ23" s="67">
        <f>AJ22+AJ21</f>
        <v/>
      </c>
      <c r="AK23" s="67">
        <f>AK22+AK21</f>
        <v/>
      </c>
      <c r="AL23" s="67">
        <f>AL22+AL21</f>
        <v/>
      </c>
      <c r="AM23" s="67">
        <f>AM22+AM21</f>
        <v/>
      </c>
      <c r="AN23" s="67">
        <f>AN22+AN21</f>
        <v/>
      </c>
      <c r="AO23" s="67">
        <f>AO22+AO21</f>
        <v/>
      </c>
      <c r="AP23" s="67">
        <f>AP22+AP21</f>
        <v/>
      </c>
      <c r="AQ23" s="67">
        <f>AQ22+AQ21</f>
        <v/>
      </c>
      <c r="AR23" s="67">
        <f>AR22+AR21</f>
        <v/>
      </c>
      <c r="AS23" s="67">
        <f>AS22+AS21</f>
        <v/>
      </c>
      <c r="AT23" s="67">
        <f>AT22+AT21</f>
        <v/>
      </c>
      <c r="AU23" s="67">
        <f>AU22+AU21</f>
        <v/>
      </c>
      <c r="AV23" s="67">
        <f>AV22+AV21</f>
        <v/>
      </c>
      <c r="AW23" s="67">
        <f>AW22+AW21</f>
        <v/>
      </c>
      <c r="AX23" s="67">
        <f>AX22+AX21</f>
        <v/>
      </c>
      <c r="AY23" s="67">
        <f>AY22+AY21</f>
        <v/>
      </c>
      <c r="AZ23" s="67">
        <f>AZ22+AZ21</f>
        <v/>
      </c>
      <c r="BA23" s="67">
        <f>BA22+BA21</f>
        <v/>
      </c>
      <c r="BB23" s="67">
        <f>BB22+BB21</f>
        <v/>
      </c>
      <c r="BC23" s="67">
        <f>BC22+BC21</f>
        <v/>
      </c>
      <c r="BD23" s="67">
        <f>BD22+BD21</f>
        <v/>
      </c>
      <c r="BE23" s="67">
        <f>BE22+BE21</f>
        <v/>
      </c>
      <c r="BF23" s="67">
        <f>BF22+BF21</f>
        <v/>
      </c>
      <c r="BG23" s="67">
        <f>BG22+BG21</f>
        <v/>
      </c>
      <c r="BH23" s="67">
        <f>BH22+BH21</f>
        <v/>
      </c>
      <c r="BI23" s="67">
        <f>BI22+BI21</f>
        <v/>
      </c>
      <c r="BJ23" s="67">
        <f>BJ22+BJ21</f>
        <v/>
      </c>
      <c r="BK23" s="67">
        <f>BK22+BK21</f>
        <v/>
      </c>
      <c r="BL23" s="67">
        <f>BL22+BL21</f>
        <v/>
      </c>
      <c r="BN23" s="53">
        <f>P23</f>
        <v/>
      </c>
      <c r="BO23" s="53">
        <f>AB23</f>
        <v/>
      </c>
      <c r="BP23" s="53">
        <f>AN23</f>
        <v/>
      </c>
      <c r="BQ23" s="53">
        <f>AZ23</f>
        <v/>
      </c>
      <c r="BR23" s="53">
        <f>BL23</f>
        <v/>
      </c>
    </row>
    <row r="24"/>
    <row r="25" ht="22" customHeight="1">
      <c r="A25" s="62" t="inlineStr">
        <is>
          <t xml:space="preserve">  NET PP&amp;E = Gross − Accum. D&amp;A</t>
        </is>
      </c>
    </row>
    <row r="26">
      <c r="A26" s="51" t="inlineStr">
        <is>
          <t>Net PP&amp;E — конец периода</t>
        </is>
      </c>
      <c r="B26" s="52" t="inlineStr">
        <is>
          <t>млн ₽</t>
        </is>
      </c>
      <c r="C26" s="48" t="inlineStr">
        <is>
          <t>—</t>
        </is>
      </c>
      <c r="D26" s="45" t="inlineStr"/>
      <c r="E26" s="67">
        <f>E18-E23</f>
        <v/>
      </c>
      <c r="F26" s="67">
        <f>F18-F23</f>
        <v/>
      </c>
      <c r="G26" s="67">
        <f>G18-G23</f>
        <v/>
      </c>
      <c r="H26" s="67">
        <f>H18-H23</f>
        <v/>
      </c>
      <c r="I26" s="67">
        <f>I18-I23</f>
        <v/>
      </c>
      <c r="J26" s="67">
        <f>J18-J23</f>
        <v/>
      </c>
      <c r="K26" s="67">
        <f>K18-K23</f>
        <v/>
      </c>
      <c r="L26" s="67">
        <f>L18-L23</f>
        <v/>
      </c>
      <c r="M26" s="67">
        <f>M18-M23</f>
        <v/>
      </c>
      <c r="N26" s="67">
        <f>N18-N23</f>
        <v/>
      </c>
      <c r="O26" s="67">
        <f>O18-O23</f>
        <v/>
      </c>
      <c r="P26" s="67">
        <f>P18-P23</f>
        <v/>
      </c>
      <c r="Q26" s="67">
        <f>Q18-Q23</f>
        <v/>
      </c>
      <c r="R26" s="67">
        <f>R18-R23</f>
        <v/>
      </c>
      <c r="S26" s="67">
        <f>S18-S23</f>
        <v/>
      </c>
      <c r="T26" s="67">
        <f>T18-T23</f>
        <v/>
      </c>
      <c r="U26" s="67">
        <f>U18-U23</f>
        <v/>
      </c>
      <c r="V26" s="67">
        <f>V18-V23</f>
        <v/>
      </c>
      <c r="W26" s="67">
        <f>W18-W23</f>
        <v/>
      </c>
      <c r="X26" s="67">
        <f>X18-X23</f>
        <v/>
      </c>
      <c r="Y26" s="67">
        <f>Y18-Y23</f>
        <v/>
      </c>
      <c r="Z26" s="67">
        <f>Z18-Z23</f>
        <v/>
      </c>
      <c r="AA26" s="67">
        <f>AA18-AA23</f>
        <v/>
      </c>
      <c r="AB26" s="67">
        <f>AB18-AB23</f>
        <v/>
      </c>
      <c r="AC26" s="67">
        <f>AC18-AC23</f>
        <v/>
      </c>
      <c r="AD26" s="67">
        <f>AD18-AD23</f>
        <v/>
      </c>
      <c r="AE26" s="67">
        <f>AE18-AE23</f>
        <v/>
      </c>
      <c r="AF26" s="67">
        <f>AF18-AF23</f>
        <v/>
      </c>
      <c r="AG26" s="67">
        <f>AG18-AG23</f>
        <v/>
      </c>
      <c r="AH26" s="67">
        <f>AH18-AH23</f>
        <v/>
      </c>
      <c r="AI26" s="67">
        <f>AI18-AI23</f>
        <v/>
      </c>
      <c r="AJ26" s="67">
        <f>AJ18-AJ23</f>
        <v/>
      </c>
      <c r="AK26" s="67">
        <f>AK18-AK23</f>
        <v/>
      </c>
      <c r="AL26" s="67">
        <f>AL18-AL23</f>
        <v/>
      </c>
      <c r="AM26" s="67">
        <f>AM18-AM23</f>
        <v/>
      </c>
      <c r="AN26" s="67">
        <f>AN18-AN23</f>
        <v/>
      </c>
      <c r="AO26" s="67">
        <f>AO18-AO23</f>
        <v/>
      </c>
      <c r="AP26" s="67">
        <f>AP18-AP23</f>
        <v/>
      </c>
      <c r="AQ26" s="67">
        <f>AQ18-AQ23</f>
        <v/>
      </c>
      <c r="AR26" s="67">
        <f>AR18-AR23</f>
        <v/>
      </c>
      <c r="AS26" s="67">
        <f>AS18-AS23</f>
        <v/>
      </c>
      <c r="AT26" s="67">
        <f>AT18-AT23</f>
        <v/>
      </c>
      <c r="AU26" s="67">
        <f>AU18-AU23</f>
        <v/>
      </c>
      <c r="AV26" s="67">
        <f>AV18-AV23</f>
        <v/>
      </c>
      <c r="AW26" s="67">
        <f>AW18-AW23</f>
        <v/>
      </c>
      <c r="AX26" s="67">
        <f>AX18-AX23</f>
        <v/>
      </c>
      <c r="AY26" s="67">
        <f>AY18-AY23</f>
        <v/>
      </c>
      <c r="AZ26" s="67">
        <f>AZ18-AZ23</f>
        <v/>
      </c>
      <c r="BA26" s="67">
        <f>BA18-BA23</f>
        <v/>
      </c>
      <c r="BB26" s="67">
        <f>BB18-BB23</f>
        <v/>
      </c>
      <c r="BC26" s="67">
        <f>BC18-BC23</f>
        <v/>
      </c>
      <c r="BD26" s="67">
        <f>BD18-BD23</f>
        <v/>
      </c>
      <c r="BE26" s="67">
        <f>BE18-BE23</f>
        <v/>
      </c>
      <c r="BF26" s="67">
        <f>BF18-BF23</f>
        <v/>
      </c>
      <c r="BG26" s="67">
        <f>BG18-BG23</f>
        <v/>
      </c>
      <c r="BH26" s="67">
        <f>BH18-BH23</f>
        <v/>
      </c>
      <c r="BI26" s="67">
        <f>BI18-BI23</f>
        <v/>
      </c>
      <c r="BJ26" s="67">
        <f>BJ18-BJ23</f>
        <v/>
      </c>
      <c r="BK26" s="67">
        <f>BK18-BK23</f>
        <v/>
      </c>
      <c r="BL26" s="67">
        <f>BL18-BL23</f>
        <v/>
      </c>
      <c r="BN26" s="53">
        <f>P26</f>
        <v/>
      </c>
      <c r="BO26" s="53">
        <f>AB26</f>
        <v/>
      </c>
      <c r="BP26" s="53">
        <f>AN26</f>
        <v/>
      </c>
      <c r="BQ26" s="53">
        <f>AZ26</f>
        <v/>
      </c>
      <c r="BR26" s="53">
        <f>BL26</f>
        <v/>
      </c>
    </row>
    <row r="27"/>
    <row r="28" ht="22" customHeight="1">
      <c r="A28" s="78" t="inlineStr">
        <is>
          <t xml:space="preserve">  D&amp;A И EBIT (экспорт в P&amp;L)</t>
        </is>
      </c>
    </row>
    <row r="29">
      <c r="A29" s="80" t="inlineStr">
        <is>
          <t>D&amp;A (млн ₽)</t>
        </is>
      </c>
      <c r="B29" s="81" t="inlineStr">
        <is>
          <t>млн ₽</t>
        </is>
      </c>
      <c r="C29" s="82">
        <f>SUM(BN29:BR29)</f>
        <v/>
      </c>
      <c r="D29" s="45" t="inlineStr"/>
      <c r="E29" s="82">
        <f>E21</f>
        <v/>
      </c>
      <c r="F29" s="82">
        <f>F21</f>
        <v/>
      </c>
      <c r="G29" s="82">
        <f>G21</f>
        <v/>
      </c>
      <c r="H29" s="82">
        <f>H21</f>
        <v/>
      </c>
      <c r="I29" s="82">
        <f>I21</f>
        <v/>
      </c>
      <c r="J29" s="82">
        <f>J21</f>
        <v/>
      </c>
      <c r="K29" s="82">
        <f>K21</f>
        <v/>
      </c>
      <c r="L29" s="82">
        <f>L21</f>
        <v/>
      </c>
      <c r="M29" s="82">
        <f>M21</f>
        <v/>
      </c>
      <c r="N29" s="82">
        <f>N21</f>
        <v/>
      </c>
      <c r="O29" s="82">
        <f>O21</f>
        <v/>
      </c>
      <c r="P29" s="82">
        <f>P21</f>
        <v/>
      </c>
      <c r="Q29" s="82">
        <f>Q21</f>
        <v/>
      </c>
      <c r="R29" s="82">
        <f>R21</f>
        <v/>
      </c>
      <c r="S29" s="82">
        <f>S21</f>
        <v/>
      </c>
      <c r="T29" s="82">
        <f>T21</f>
        <v/>
      </c>
      <c r="U29" s="82">
        <f>U21</f>
        <v/>
      </c>
      <c r="V29" s="82">
        <f>V21</f>
        <v/>
      </c>
      <c r="W29" s="82">
        <f>W21</f>
        <v/>
      </c>
      <c r="X29" s="82">
        <f>X21</f>
        <v/>
      </c>
      <c r="Y29" s="82">
        <f>Y21</f>
        <v/>
      </c>
      <c r="Z29" s="82">
        <f>Z21</f>
        <v/>
      </c>
      <c r="AA29" s="82">
        <f>AA21</f>
        <v/>
      </c>
      <c r="AB29" s="82">
        <f>AB21</f>
        <v/>
      </c>
      <c r="AC29" s="82">
        <f>AC21</f>
        <v/>
      </c>
      <c r="AD29" s="82">
        <f>AD21</f>
        <v/>
      </c>
      <c r="AE29" s="82">
        <f>AE21</f>
        <v/>
      </c>
      <c r="AF29" s="82">
        <f>AF21</f>
        <v/>
      </c>
      <c r="AG29" s="82">
        <f>AG21</f>
        <v/>
      </c>
      <c r="AH29" s="82">
        <f>AH21</f>
        <v/>
      </c>
      <c r="AI29" s="82">
        <f>AI21</f>
        <v/>
      </c>
      <c r="AJ29" s="82">
        <f>AJ21</f>
        <v/>
      </c>
      <c r="AK29" s="82">
        <f>AK21</f>
        <v/>
      </c>
      <c r="AL29" s="82">
        <f>AL21</f>
        <v/>
      </c>
      <c r="AM29" s="82">
        <f>AM21</f>
        <v/>
      </c>
      <c r="AN29" s="82">
        <f>AN21</f>
        <v/>
      </c>
      <c r="AO29" s="82">
        <f>AO21</f>
        <v/>
      </c>
      <c r="AP29" s="82">
        <f>AP21</f>
        <v/>
      </c>
      <c r="AQ29" s="82">
        <f>AQ21</f>
        <v/>
      </c>
      <c r="AR29" s="82">
        <f>AR21</f>
        <v/>
      </c>
      <c r="AS29" s="82">
        <f>AS21</f>
        <v/>
      </c>
      <c r="AT29" s="82">
        <f>AT21</f>
        <v/>
      </c>
      <c r="AU29" s="82">
        <f>AU21</f>
        <v/>
      </c>
      <c r="AV29" s="82">
        <f>AV21</f>
        <v/>
      </c>
      <c r="AW29" s="82">
        <f>AW21</f>
        <v/>
      </c>
      <c r="AX29" s="82">
        <f>AX21</f>
        <v/>
      </c>
      <c r="AY29" s="82">
        <f>AY21</f>
        <v/>
      </c>
      <c r="AZ29" s="82">
        <f>AZ21</f>
        <v/>
      </c>
      <c r="BA29" s="82">
        <f>BA21</f>
        <v/>
      </c>
      <c r="BB29" s="82">
        <f>BB21</f>
        <v/>
      </c>
      <c r="BC29" s="82">
        <f>BC21</f>
        <v/>
      </c>
      <c r="BD29" s="82">
        <f>BD21</f>
        <v/>
      </c>
      <c r="BE29" s="82">
        <f>BE21</f>
        <v/>
      </c>
      <c r="BF29" s="82">
        <f>BF21</f>
        <v/>
      </c>
      <c r="BG29" s="82">
        <f>BG21</f>
        <v/>
      </c>
      <c r="BH29" s="82">
        <f>BH21</f>
        <v/>
      </c>
      <c r="BI29" s="82">
        <f>BI21</f>
        <v/>
      </c>
      <c r="BJ29" s="82">
        <f>BJ21</f>
        <v/>
      </c>
      <c r="BK29" s="82">
        <f>BK21</f>
        <v/>
      </c>
      <c r="BL29" s="82">
        <f>BL21</f>
        <v/>
      </c>
      <c r="BN29" s="82">
        <f>SUM(E29:P29)</f>
        <v/>
      </c>
      <c r="BO29" s="82">
        <f>SUM(Q29:AB29)</f>
        <v/>
      </c>
      <c r="BP29" s="82">
        <f>SUM(AC29:AN29)</f>
        <v/>
      </c>
      <c r="BQ29" s="82">
        <f>SUM(AO29:AZ29)</f>
        <v/>
      </c>
      <c r="BR29" s="82">
        <f>SUM(BA29:BL29)</f>
        <v/>
      </c>
    </row>
    <row r="30">
      <c r="A30" s="80" t="inlineStr">
        <is>
          <t>EBIT = EBITDA − D&amp;A (млн ₽)</t>
        </is>
      </c>
      <c r="B30" s="81" t="inlineStr">
        <is>
          <t>млн ₽</t>
        </is>
      </c>
      <c r="C30" s="82">
        <f>SUM(BN30:BR30)</f>
        <v/>
      </c>
      <c r="D30" s="45" t="inlineStr"/>
      <c r="E30" s="82">
        <f>E7-E21</f>
        <v/>
      </c>
      <c r="F30" s="82">
        <f>F7-F21</f>
        <v/>
      </c>
      <c r="G30" s="82">
        <f>G7-G21</f>
        <v/>
      </c>
      <c r="H30" s="82">
        <f>H7-H21</f>
        <v/>
      </c>
      <c r="I30" s="82">
        <f>I7-I21</f>
        <v/>
      </c>
      <c r="J30" s="82">
        <f>J7-J21</f>
        <v/>
      </c>
      <c r="K30" s="82">
        <f>K7-K21</f>
        <v/>
      </c>
      <c r="L30" s="82">
        <f>L7-L21</f>
        <v/>
      </c>
      <c r="M30" s="82">
        <f>M7-M21</f>
        <v/>
      </c>
      <c r="N30" s="82">
        <f>N7-N21</f>
        <v/>
      </c>
      <c r="O30" s="82">
        <f>O7-O21</f>
        <v/>
      </c>
      <c r="P30" s="82">
        <f>P7-P21</f>
        <v/>
      </c>
      <c r="Q30" s="82">
        <f>Q7-Q21</f>
        <v/>
      </c>
      <c r="R30" s="82">
        <f>R7-R21</f>
        <v/>
      </c>
      <c r="S30" s="82">
        <f>S7-S21</f>
        <v/>
      </c>
      <c r="T30" s="82">
        <f>T7-T21</f>
        <v/>
      </c>
      <c r="U30" s="82">
        <f>U7-U21</f>
        <v/>
      </c>
      <c r="V30" s="82">
        <f>V7-V21</f>
        <v/>
      </c>
      <c r="W30" s="82">
        <f>W7-W21</f>
        <v/>
      </c>
      <c r="X30" s="82">
        <f>X7-X21</f>
        <v/>
      </c>
      <c r="Y30" s="82">
        <f>Y7-Y21</f>
        <v/>
      </c>
      <c r="Z30" s="82">
        <f>Z7-Z21</f>
        <v/>
      </c>
      <c r="AA30" s="82">
        <f>AA7-AA21</f>
        <v/>
      </c>
      <c r="AB30" s="82">
        <f>AB7-AB21</f>
        <v/>
      </c>
      <c r="AC30" s="82">
        <f>AC7-AC21</f>
        <v/>
      </c>
      <c r="AD30" s="82">
        <f>AD7-AD21</f>
        <v/>
      </c>
      <c r="AE30" s="82">
        <f>AE7-AE21</f>
        <v/>
      </c>
      <c r="AF30" s="82">
        <f>AF7-AF21</f>
        <v/>
      </c>
      <c r="AG30" s="82">
        <f>AG7-AG21</f>
        <v/>
      </c>
      <c r="AH30" s="82">
        <f>AH7-AH21</f>
        <v/>
      </c>
      <c r="AI30" s="82">
        <f>AI7-AI21</f>
        <v/>
      </c>
      <c r="AJ30" s="82">
        <f>AJ7-AJ21</f>
        <v/>
      </c>
      <c r="AK30" s="82">
        <f>AK7-AK21</f>
        <v/>
      </c>
      <c r="AL30" s="82">
        <f>AL7-AL21</f>
        <v/>
      </c>
      <c r="AM30" s="82">
        <f>AM7-AM21</f>
        <v/>
      </c>
      <c r="AN30" s="82">
        <f>AN7-AN21</f>
        <v/>
      </c>
      <c r="AO30" s="82">
        <f>AO7-AO21</f>
        <v/>
      </c>
      <c r="AP30" s="82">
        <f>AP7-AP21</f>
        <v/>
      </c>
      <c r="AQ30" s="82">
        <f>AQ7-AQ21</f>
        <v/>
      </c>
      <c r="AR30" s="82">
        <f>AR7-AR21</f>
        <v/>
      </c>
      <c r="AS30" s="82">
        <f>AS7-AS21</f>
        <v/>
      </c>
      <c r="AT30" s="82">
        <f>AT7-AT21</f>
        <v/>
      </c>
      <c r="AU30" s="82">
        <f>AU7-AU21</f>
        <v/>
      </c>
      <c r="AV30" s="82">
        <f>AV7-AV21</f>
        <v/>
      </c>
      <c r="AW30" s="82">
        <f>AW7-AW21</f>
        <v/>
      </c>
      <c r="AX30" s="82">
        <f>AX7-AX21</f>
        <v/>
      </c>
      <c r="AY30" s="82">
        <f>AY7-AY21</f>
        <v/>
      </c>
      <c r="AZ30" s="82">
        <f>AZ7-AZ21</f>
        <v/>
      </c>
      <c r="BA30" s="82">
        <f>BA7-BA21</f>
        <v/>
      </c>
      <c r="BB30" s="82">
        <f>BB7-BB21</f>
        <v/>
      </c>
      <c r="BC30" s="82">
        <f>BC7-BC21</f>
        <v/>
      </c>
      <c r="BD30" s="82">
        <f>BD7-BD21</f>
        <v/>
      </c>
      <c r="BE30" s="82">
        <f>BE7-BE21</f>
        <v/>
      </c>
      <c r="BF30" s="82">
        <f>BF7-BF21</f>
        <v/>
      </c>
      <c r="BG30" s="82">
        <f>BG7-BG21</f>
        <v/>
      </c>
      <c r="BH30" s="82">
        <f>BH7-BH21</f>
        <v/>
      </c>
      <c r="BI30" s="82">
        <f>BI7-BI21</f>
        <v/>
      </c>
      <c r="BJ30" s="82">
        <f>BJ7-BJ21</f>
        <v/>
      </c>
      <c r="BK30" s="82">
        <f>BK7-BK21</f>
        <v/>
      </c>
      <c r="BL30" s="82">
        <f>BL7-BL21</f>
        <v/>
      </c>
      <c r="BN30" s="82">
        <f>SUM(E30:P30)</f>
        <v/>
      </c>
      <c r="BO30" s="82">
        <f>SUM(Q30:AB30)</f>
        <v/>
      </c>
      <c r="BP30" s="82">
        <f>SUM(AC30:AN30)</f>
        <v/>
      </c>
      <c r="BQ30" s="82">
        <f>SUM(AO30:AZ30)</f>
        <v/>
      </c>
      <c r="BR30" s="82">
        <f>SUM(BA30:BL30)</f>
        <v/>
      </c>
    </row>
    <row r="31">
      <c r="A31" s="42" t="inlineStr">
        <is>
          <t>EBIT margin %</t>
        </is>
      </c>
      <c r="B31" s="43" t="inlineStr">
        <is>
          <t>%</t>
        </is>
      </c>
      <c r="C31" s="48" t="inlineStr">
        <is>
          <t>—</t>
        </is>
      </c>
      <c r="D31" s="45" t="inlineStr"/>
      <c r="E31" s="42" t="inlineStr"/>
      <c r="F31" s="42" t="inlineStr"/>
      <c r="G31" s="42" t="inlineStr"/>
      <c r="H31" s="42" t="inlineStr"/>
      <c r="I31" s="42" t="inlineStr"/>
      <c r="J31" s="42" t="inlineStr"/>
      <c r="K31" s="42" t="inlineStr"/>
      <c r="L31" s="42" t="inlineStr"/>
      <c r="M31" s="42" t="inlineStr"/>
      <c r="N31" s="42" t="inlineStr"/>
      <c r="O31" s="42" t="inlineStr"/>
      <c r="P31" s="42" t="inlineStr"/>
      <c r="Q31" s="42" t="inlineStr"/>
      <c r="R31" s="42" t="inlineStr"/>
      <c r="S31" s="42" t="inlineStr"/>
      <c r="T31" s="42" t="inlineStr"/>
      <c r="U31" s="42" t="inlineStr"/>
      <c r="V31" s="42" t="inlineStr"/>
      <c r="W31" s="42" t="inlineStr"/>
      <c r="X31" s="42" t="inlineStr"/>
      <c r="Y31" s="42" t="inlineStr"/>
      <c r="Z31" s="42" t="inlineStr"/>
      <c r="AA31" s="42" t="inlineStr"/>
      <c r="AB31" s="42" t="inlineStr"/>
      <c r="AC31" s="42" t="inlineStr"/>
      <c r="AD31" s="42" t="inlineStr"/>
      <c r="AE31" s="42" t="inlineStr"/>
      <c r="AF31" s="42" t="inlineStr"/>
      <c r="AG31" s="42" t="inlineStr"/>
      <c r="AH31" s="42" t="inlineStr"/>
      <c r="AI31" s="42" t="inlineStr"/>
      <c r="AJ31" s="42" t="inlineStr"/>
      <c r="AK31" s="42" t="inlineStr"/>
      <c r="AL31" s="42" t="inlineStr"/>
      <c r="AM31" s="42" t="inlineStr"/>
      <c r="AN31" s="42" t="inlineStr"/>
      <c r="AO31" s="42" t="inlineStr"/>
      <c r="AP31" s="42" t="inlineStr"/>
      <c r="AQ31" s="42" t="inlineStr"/>
      <c r="AR31" s="42" t="inlineStr"/>
      <c r="AS31" s="42" t="inlineStr"/>
      <c r="AT31" s="42" t="inlineStr"/>
      <c r="AU31" s="42" t="inlineStr"/>
      <c r="AV31" s="42" t="inlineStr"/>
      <c r="AW31" s="42" t="inlineStr"/>
      <c r="AX31" s="42" t="inlineStr"/>
      <c r="AY31" s="42" t="inlineStr"/>
      <c r="AZ31" s="42" t="inlineStr"/>
      <c r="BA31" s="42" t="inlineStr"/>
      <c r="BB31" s="42" t="inlineStr"/>
      <c r="BC31" s="42" t="inlineStr"/>
      <c r="BD31" s="42" t="inlineStr"/>
      <c r="BE31" s="42" t="inlineStr"/>
      <c r="BF31" s="42" t="inlineStr"/>
      <c r="BG31" s="42" t="inlineStr"/>
      <c r="BH31" s="42" t="inlineStr"/>
      <c r="BI31" s="42" t="inlineStr"/>
      <c r="BJ31" s="42" t="inlineStr"/>
      <c r="BK31" s="42" t="inlineStr"/>
      <c r="BL31" s="42" t="inlineStr"/>
      <c r="BN31" s="83">
        <f>IFERROR(BN30/BN6,0)</f>
        <v/>
      </c>
      <c r="BO31" s="83">
        <f>IFERROR(BO30/BO6,0)</f>
        <v/>
      </c>
      <c r="BP31" s="83">
        <f>IFERROR(BP30/BP6,0)</f>
        <v/>
      </c>
      <c r="BQ31" s="83">
        <f>IFERROR(BQ30/BQ6,0)</f>
        <v/>
      </c>
      <c r="BR31" s="83">
        <f>IFERROR(BR30/BR6,0)</f>
        <v/>
      </c>
    </row>
  </sheetData>
  <mergeCells count="8">
    <mergeCell ref="A25:BR25"/>
    <mergeCell ref="A2:BR2"/>
    <mergeCell ref="A28:BR28"/>
    <mergeCell ref="A5:BR5"/>
    <mergeCell ref="A1:BR1"/>
    <mergeCell ref="A9:BR9"/>
    <mergeCell ref="A20:BR20"/>
    <mergeCell ref="A15:BR1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0"/>
    <pageSetUpPr/>
  </sheetPr>
  <dimension ref="A1:BR26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ДОЛГОВОЕ ФИНАНСИРОВАНИЕ (помесячно)</t>
        </is>
      </c>
    </row>
    <row r="2" ht="18" customHeight="1">
      <c r="A2" s="38" t="inlineStr">
        <is>
          <t xml:space="preserve">  🟡 Долг/ставка/срок — Input | ⚫ %=остаток_нач×ставка/12, principal равн. | 🔴 Interest → Налоги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СТРУКТУРА ФИНАНСИРОВАНИЯ PP&amp;E ГОД 0</t>
        </is>
      </c>
    </row>
    <row r="6">
      <c r="A6" s="42" t="inlineStr">
        <is>
          <t xml:space="preserve">    Долг Год 0 (из Input)</t>
        </is>
      </c>
      <c r="B6" s="43" t="inlineStr">
        <is>
          <t>млн ₽</t>
        </is>
      </c>
      <c r="C6" s="48" t="inlineStr">
        <is>
          <t>—</t>
        </is>
      </c>
      <c r="D6" s="45" t="inlineStr"/>
      <c r="E6" s="42" t="inlineStr"/>
      <c r="F6" s="42" t="inlineStr"/>
      <c r="G6" s="42" t="inlineStr"/>
      <c r="H6" s="42" t="inlineStr"/>
      <c r="I6" s="42" t="inlineStr"/>
      <c r="J6" s="42" t="inlineStr"/>
      <c r="K6" s="42" t="inlineStr"/>
      <c r="L6" s="42" t="inlineStr"/>
      <c r="M6" s="42" t="inlineStr"/>
      <c r="N6" s="42" t="inlineStr"/>
      <c r="O6" s="42" t="inlineStr"/>
      <c r="P6" s="42" t="inlineStr"/>
      <c r="Q6" s="42" t="inlineStr"/>
      <c r="R6" s="42" t="inlineStr"/>
      <c r="S6" s="42" t="inlineStr"/>
      <c r="T6" s="42" t="inlineStr"/>
      <c r="U6" s="42" t="inlineStr"/>
      <c r="V6" s="42" t="inlineStr"/>
      <c r="W6" s="42" t="inlineStr"/>
      <c r="X6" s="42" t="inlineStr"/>
      <c r="Y6" s="42" t="inlineStr"/>
      <c r="Z6" s="42" t="inlineStr"/>
      <c r="AA6" s="42" t="inlineStr"/>
      <c r="AB6" s="42" t="inlineStr"/>
      <c r="AC6" s="42" t="inlineStr"/>
      <c r="AD6" s="42" t="inlineStr"/>
      <c r="AE6" s="42" t="inlineStr"/>
      <c r="AF6" s="42" t="inlineStr"/>
      <c r="AG6" s="42" t="inlineStr"/>
      <c r="AH6" s="42" t="inlineStr"/>
      <c r="AI6" s="42" t="inlineStr"/>
      <c r="AJ6" s="42" t="inlineStr"/>
      <c r="AK6" s="42" t="inlineStr"/>
      <c r="AL6" s="42" t="inlineStr"/>
      <c r="AM6" s="42" t="inlineStr"/>
      <c r="AN6" s="42" t="inlineStr"/>
      <c r="AO6" s="42" t="inlineStr"/>
      <c r="AP6" s="42" t="inlineStr"/>
      <c r="AQ6" s="42" t="inlineStr"/>
      <c r="AR6" s="42" t="inlineStr"/>
      <c r="AS6" s="42" t="inlineStr"/>
      <c r="AT6" s="42" t="inlineStr"/>
      <c r="AU6" s="42" t="inlineStr"/>
      <c r="AV6" s="42" t="inlineStr"/>
      <c r="AW6" s="42" t="inlineStr"/>
      <c r="AX6" s="42" t="inlineStr"/>
      <c r="AY6" s="42" t="inlineStr"/>
      <c r="AZ6" s="42" t="inlineStr"/>
      <c r="BA6" s="42" t="inlineStr"/>
      <c r="BB6" s="42" t="inlineStr"/>
      <c r="BC6" s="42" t="inlineStr"/>
      <c r="BD6" s="42" t="inlineStr"/>
      <c r="BE6" s="42" t="inlineStr"/>
      <c r="BF6" s="42" t="inlineStr"/>
      <c r="BG6" s="42" t="inlineStr"/>
      <c r="BH6" s="42" t="inlineStr"/>
      <c r="BI6" s="42" t="inlineStr"/>
      <c r="BJ6" s="42" t="inlineStr"/>
      <c r="BK6" s="42" t="inlineStr"/>
      <c r="BL6" s="42" t="inlineStr"/>
      <c r="BN6" s="88">
        <f>Input!BN79</f>
        <v/>
      </c>
    </row>
    <row r="7">
      <c r="A7" s="42" t="inlineStr">
        <is>
          <t xml:space="preserve">    Equity Год 0 (из Input)</t>
        </is>
      </c>
      <c r="B7" s="43" t="inlineStr">
        <is>
          <t>млн ₽</t>
        </is>
      </c>
      <c r="C7" s="48" t="inlineStr">
        <is>
          <t>—</t>
        </is>
      </c>
      <c r="D7" s="45" t="inlineStr"/>
      <c r="E7" s="42" t="inlineStr"/>
      <c r="F7" s="42" t="inlineStr"/>
      <c r="G7" s="42" t="inlineStr"/>
      <c r="H7" s="42" t="inlineStr"/>
      <c r="I7" s="42" t="inlineStr"/>
      <c r="J7" s="42" t="inlineStr"/>
      <c r="K7" s="42" t="inlineStr"/>
      <c r="L7" s="42" t="inlineStr"/>
      <c r="M7" s="42" t="inlineStr"/>
      <c r="N7" s="42" t="inlineStr"/>
      <c r="O7" s="42" t="inlineStr"/>
      <c r="P7" s="42" t="inlineStr"/>
      <c r="Q7" s="42" t="inlineStr"/>
      <c r="R7" s="42" t="inlineStr"/>
      <c r="S7" s="42" t="inlineStr"/>
      <c r="T7" s="42" t="inlineStr"/>
      <c r="U7" s="42" t="inlineStr"/>
      <c r="V7" s="42" t="inlineStr"/>
      <c r="W7" s="42" t="inlineStr"/>
      <c r="X7" s="42" t="inlineStr"/>
      <c r="Y7" s="42" t="inlineStr"/>
      <c r="Z7" s="42" t="inlineStr"/>
      <c r="AA7" s="42" t="inlineStr"/>
      <c r="AB7" s="42" t="inlineStr"/>
      <c r="AC7" s="42" t="inlineStr"/>
      <c r="AD7" s="42" t="inlineStr"/>
      <c r="AE7" s="42" t="inlineStr"/>
      <c r="AF7" s="42" t="inlineStr"/>
      <c r="AG7" s="42" t="inlineStr"/>
      <c r="AH7" s="42" t="inlineStr"/>
      <c r="AI7" s="42" t="inlineStr"/>
      <c r="AJ7" s="42" t="inlineStr"/>
      <c r="AK7" s="42" t="inlineStr"/>
      <c r="AL7" s="42" t="inlineStr"/>
      <c r="AM7" s="42" t="inlineStr"/>
      <c r="AN7" s="42" t="inlineStr"/>
      <c r="AO7" s="42" t="inlineStr"/>
      <c r="AP7" s="42" t="inlineStr"/>
      <c r="AQ7" s="42" t="inlineStr"/>
      <c r="AR7" s="42" t="inlineStr"/>
      <c r="AS7" s="42" t="inlineStr"/>
      <c r="AT7" s="42" t="inlineStr"/>
      <c r="AU7" s="42" t="inlineStr"/>
      <c r="AV7" s="42" t="inlineStr"/>
      <c r="AW7" s="42" t="inlineStr"/>
      <c r="AX7" s="42" t="inlineStr"/>
      <c r="AY7" s="42" t="inlineStr"/>
      <c r="AZ7" s="42" t="inlineStr"/>
      <c r="BA7" s="42" t="inlineStr"/>
      <c r="BB7" s="42" t="inlineStr"/>
      <c r="BC7" s="42" t="inlineStr"/>
      <c r="BD7" s="42" t="inlineStr"/>
      <c r="BE7" s="42" t="inlineStr"/>
      <c r="BF7" s="42" t="inlineStr"/>
      <c r="BG7" s="42" t="inlineStr"/>
      <c r="BH7" s="42" t="inlineStr"/>
      <c r="BI7" s="42" t="inlineStr"/>
      <c r="BJ7" s="42" t="inlineStr"/>
      <c r="BK7" s="42" t="inlineStr"/>
      <c r="BL7" s="42" t="inlineStr"/>
      <c r="BN7" s="88">
        <f>Input!BN82</f>
        <v/>
      </c>
    </row>
    <row r="8"/>
    <row r="9" ht="22" customHeight="1">
      <c r="A9" s="62" t="inlineStr">
        <is>
          <t xml:space="preserve">  ГРАФИК ОБСЛУЖИВАНИЯ ДОЛГА — LINEAR (60 звеньев)</t>
        </is>
      </c>
    </row>
    <row r="10">
      <c r="A10" s="65" t="inlineStr">
        <is>
          <t xml:space="preserve">    Долг — начало месяца</t>
        </is>
      </c>
      <c r="B10" s="43" t="inlineStr">
        <is>
          <t>млн ₽</t>
        </is>
      </c>
      <c r="C10" s="48" t="inlineStr">
        <is>
          <t>—</t>
        </is>
      </c>
      <c r="D10" s="45" t="inlineStr"/>
      <c r="E10" s="86">
        <f>Input!BN79</f>
        <v/>
      </c>
      <c r="F10" s="86">
        <f>E12</f>
        <v/>
      </c>
      <c r="G10" s="86">
        <f>F12</f>
        <v/>
      </c>
      <c r="H10" s="86">
        <f>G12</f>
        <v/>
      </c>
      <c r="I10" s="86">
        <f>H12</f>
        <v/>
      </c>
      <c r="J10" s="86">
        <f>I12</f>
        <v/>
      </c>
      <c r="K10" s="86">
        <f>J12</f>
        <v/>
      </c>
      <c r="L10" s="86">
        <f>K12</f>
        <v/>
      </c>
      <c r="M10" s="86">
        <f>L12</f>
        <v/>
      </c>
      <c r="N10" s="86">
        <f>M12</f>
        <v/>
      </c>
      <c r="O10" s="86">
        <f>N12</f>
        <v/>
      </c>
      <c r="P10" s="86">
        <f>O12</f>
        <v/>
      </c>
      <c r="Q10" s="86">
        <f>P12</f>
        <v/>
      </c>
      <c r="R10" s="86">
        <f>Q12</f>
        <v/>
      </c>
      <c r="S10" s="86">
        <f>R12</f>
        <v/>
      </c>
      <c r="T10" s="86">
        <f>S12</f>
        <v/>
      </c>
      <c r="U10" s="86">
        <f>T12</f>
        <v/>
      </c>
      <c r="V10" s="86">
        <f>U12</f>
        <v/>
      </c>
      <c r="W10" s="86">
        <f>V12</f>
        <v/>
      </c>
      <c r="X10" s="86">
        <f>W12</f>
        <v/>
      </c>
      <c r="Y10" s="86">
        <f>X12</f>
        <v/>
      </c>
      <c r="Z10" s="86">
        <f>Y12</f>
        <v/>
      </c>
      <c r="AA10" s="86">
        <f>Z12</f>
        <v/>
      </c>
      <c r="AB10" s="86">
        <f>AA12</f>
        <v/>
      </c>
      <c r="AC10" s="86">
        <f>AB12</f>
        <v/>
      </c>
      <c r="AD10" s="86">
        <f>AC12</f>
        <v/>
      </c>
      <c r="AE10" s="86">
        <f>AD12</f>
        <v/>
      </c>
      <c r="AF10" s="86">
        <f>AE12</f>
        <v/>
      </c>
      <c r="AG10" s="86">
        <f>AF12</f>
        <v/>
      </c>
      <c r="AH10" s="86">
        <f>AG12</f>
        <v/>
      </c>
      <c r="AI10" s="86">
        <f>AH12</f>
        <v/>
      </c>
      <c r="AJ10" s="86">
        <f>AI12</f>
        <v/>
      </c>
      <c r="AK10" s="86">
        <f>AJ12</f>
        <v/>
      </c>
      <c r="AL10" s="86">
        <f>AK12</f>
        <v/>
      </c>
      <c r="AM10" s="86">
        <f>AL12</f>
        <v/>
      </c>
      <c r="AN10" s="86">
        <f>AM12</f>
        <v/>
      </c>
      <c r="AO10" s="86">
        <f>AN12</f>
        <v/>
      </c>
      <c r="AP10" s="86">
        <f>AO12</f>
        <v/>
      </c>
      <c r="AQ10" s="86">
        <f>AP12</f>
        <v/>
      </c>
      <c r="AR10" s="86">
        <f>AQ12</f>
        <v/>
      </c>
      <c r="AS10" s="86">
        <f>AR12</f>
        <v/>
      </c>
      <c r="AT10" s="86">
        <f>AS12</f>
        <v/>
      </c>
      <c r="AU10" s="86">
        <f>AT12</f>
        <v/>
      </c>
      <c r="AV10" s="86">
        <f>AU12</f>
        <v/>
      </c>
      <c r="AW10" s="86">
        <f>AV12</f>
        <v/>
      </c>
      <c r="AX10" s="86">
        <f>AW12</f>
        <v/>
      </c>
      <c r="AY10" s="86">
        <f>AX12</f>
        <v/>
      </c>
      <c r="AZ10" s="86">
        <f>AY12</f>
        <v/>
      </c>
      <c r="BA10" s="86">
        <f>AZ12</f>
        <v/>
      </c>
      <c r="BB10" s="86">
        <f>BA12</f>
        <v/>
      </c>
      <c r="BC10" s="86">
        <f>BB12</f>
        <v/>
      </c>
      <c r="BD10" s="86">
        <f>BC12</f>
        <v/>
      </c>
      <c r="BE10" s="86">
        <f>BD12</f>
        <v/>
      </c>
      <c r="BF10" s="86">
        <f>BE12</f>
        <v/>
      </c>
      <c r="BG10" s="86">
        <f>BF12</f>
        <v/>
      </c>
      <c r="BH10" s="86">
        <f>BG12</f>
        <v/>
      </c>
      <c r="BI10" s="86">
        <f>BH12</f>
        <v/>
      </c>
      <c r="BJ10" s="86">
        <f>BI12</f>
        <v/>
      </c>
      <c r="BK10" s="86">
        <f>BJ12</f>
        <v/>
      </c>
      <c r="BL10" s="86">
        <f>BK12</f>
        <v/>
      </c>
      <c r="BN10" s="53">
        <f>E10</f>
        <v/>
      </c>
      <c r="BO10" s="53">
        <f>Q10</f>
        <v/>
      </c>
      <c r="BP10" s="53">
        <f>AC10</f>
        <v/>
      </c>
      <c r="BQ10" s="53">
        <f>AO10</f>
        <v/>
      </c>
      <c r="BR10" s="53">
        <f>BA10</f>
        <v/>
      </c>
    </row>
    <row r="11">
      <c r="A11" s="42" t="inlineStr">
        <is>
          <t xml:space="preserve">    − Погашение основного долга (Principal)</t>
        </is>
      </c>
      <c r="B11" s="43" t="inlineStr">
        <is>
          <t>млн ₽</t>
        </is>
      </c>
      <c r="C11" s="53">
        <f>SUM(BN11:BR11)</f>
        <v/>
      </c>
      <c r="D11" s="45" t="inlineStr"/>
      <c r="E11" s="53">
        <f>MIN(Input!BN79/(Input!BN81*12),E10)</f>
        <v/>
      </c>
      <c r="F11" s="53">
        <f>MIN(Input!BN79/(Input!BN81*12),F10)</f>
        <v/>
      </c>
      <c r="G11" s="53">
        <f>MIN(Input!BN79/(Input!BN81*12),G10)</f>
        <v/>
      </c>
      <c r="H11" s="53">
        <f>MIN(Input!BN79/(Input!BN81*12),H10)</f>
        <v/>
      </c>
      <c r="I11" s="53">
        <f>MIN(Input!BN79/(Input!BN81*12),I10)</f>
        <v/>
      </c>
      <c r="J11" s="53">
        <f>MIN(Input!BN79/(Input!BN81*12),J10)</f>
        <v/>
      </c>
      <c r="K11" s="53">
        <f>MIN(Input!BN79/(Input!BN81*12),K10)</f>
        <v/>
      </c>
      <c r="L11" s="53">
        <f>MIN(Input!BN79/(Input!BN81*12),L10)</f>
        <v/>
      </c>
      <c r="M11" s="53">
        <f>MIN(Input!BN79/(Input!BN81*12),M10)</f>
        <v/>
      </c>
      <c r="N11" s="53">
        <f>MIN(Input!BN79/(Input!BN81*12),N10)</f>
        <v/>
      </c>
      <c r="O11" s="53">
        <f>MIN(Input!BN79/(Input!BN81*12),O10)</f>
        <v/>
      </c>
      <c r="P11" s="53">
        <f>MIN(Input!BN79/(Input!BN81*12),P10)</f>
        <v/>
      </c>
      <c r="Q11" s="53">
        <f>MIN(Input!BN79/(Input!BN81*12),Q10)</f>
        <v/>
      </c>
      <c r="R11" s="53">
        <f>MIN(Input!BN79/(Input!BN81*12),R10)</f>
        <v/>
      </c>
      <c r="S11" s="53">
        <f>MIN(Input!BN79/(Input!BN81*12),S10)</f>
        <v/>
      </c>
      <c r="T11" s="53">
        <f>MIN(Input!BN79/(Input!BN81*12),T10)</f>
        <v/>
      </c>
      <c r="U11" s="53">
        <f>MIN(Input!BN79/(Input!BN81*12),U10)</f>
        <v/>
      </c>
      <c r="V11" s="53">
        <f>MIN(Input!BN79/(Input!BN81*12),V10)</f>
        <v/>
      </c>
      <c r="W11" s="53">
        <f>MIN(Input!BN79/(Input!BN81*12),W10)</f>
        <v/>
      </c>
      <c r="X11" s="53">
        <f>MIN(Input!BN79/(Input!BN81*12),X10)</f>
        <v/>
      </c>
      <c r="Y11" s="53">
        <f>MIN(Input!BN79/(Input!BN81*12),Y10)</f>
        <v/>
      </c>
      <c r="Z11" s="53">
        <f>MIN(Input!BN79/(Input!BN81*12),Z10)</f>
        <v/>
      </c>
      <c r="AA11" s="53">
        <f>MIN(Input!BN79/(Input!BN81*12),AA10)</f>
        <v/>
      </c>
      <c r="AB11" s="53">
        <f>MIN(Input!BN79/(Input!BN81*12),AB10)</f>
        <v/>
      </c>
      <c r="AC11" s="53">
        <f>MIN(Input!BN79/(Input!BN81*12),AC10)</f>
        <v/>
      </c>
      <c r="AD11" s="53">
        <f>MIN(Input!BN79/(Input!BN81*12),AD10)</f>
        <v/>
      </c>
      <c r="AE11" s="53">
        <f>MIN(Input!BN79/(Input!BN81*12),AE10)</f>
        <v/>
      </c>
      <c r="AF11" s="53">
        <f>MIN(Input!BN79/(Input!BN81*12),AF10)</f>
        <v/>
      </c>
      <c r="AG11" s="53">
        <f>MIN(Input!BN79/(Input!BN81*12),AG10)</f>
        <v/>
      </c>
      <c r="AH11" s="53">
        <f>MIN(Input!BN79/(Input!BN81*12),AH10)</f>
        <v/>
      </c>
      <c r="AI11" s="53">
        <f>MIN(Input!BN79/(Input!BN81*12),AI10)</f>
        <v/>
      </c>
      <c r="AJ11" s="53">
        <f>MIN(Input!BN79/(Input!BN81*12),AJ10)</f>
        <v/>
      </c>
      <c r="AK11" s="53">
        <f>MIN(Input!BN79/(Input!BN81*12),AK10)</f>
        <v/>
      </c>
      <c r="AL11" s="53">
        <f>MIN(Input!BN79/(Input!BN81*12),AL10)</f>
        <v/>
      </c>
      <c r="AM11" s="53">
        <f>MIN(Input!BN79/(Input!BN81*12),AM10)</f>
        <v/>
      </c>
      <c r="AN11" s="53">
        <f>MIN(Input!BN79/(Input!BN81*12),AN10)</f>
        <v/>
      </c>
      <c r="AO11" s="53">
        <f>MIN(Input!BN79/(Input!BN81*12),AO10)</f>
        <v/>
      </c>
      <c r="AP11" s="53">
        <f>MIN(Input!BN79/(Input!BN81*12),AP10)</f>
        <v/>
      </c>
      <c r="AQ11" s="53">
        <f>MIN(Input!BN79/(Input!BN81*12),AQ10)</f>
        <v/>
      </c>
      <c r="AR11" s="53">
        <f>MIN(Input!BN79/(Input!BN81*12),AR10)</f>
        <v/>
      </c>
      <c r="AS11" s="53">
        <f>MIN(Input!BN79/(Input!BN81*12),AS10)</f>
        <v/>
      </c>
      <c r="AT11" s="53">
        <f>MIN(Input!BN79/(Input!BN81*12),AT10)</f>
        <v/>
      </c>
      <c r="AU11" s="53">
        <f>MIN(Input!BN79/(Input!BN81*12),AU10)</f>
        <v/>
      </c>
      <c r="AV11" s="53">
        <f>MIN(Input!BN79/(Input!BN81*12),AV10)</f>
        <v/>
      </c>
      <c r="AW11" s="53">
        <f>MIN(Input!BN79/(Input!BN81*12),AW10)</f>
        <v/>
      </c>
      <c r="AX11" s="53">
        <f>MIN(Input!BN79/(Input!BN81*12),AX10)</f>
        <v/>
      </c>
      <c r="AY11" s="53">
        <f>MIN(Input!BN79/(Input!BN81*12),AY10)</f>
        <v/>
      </c>
      <c r="AZ11" s="53">
        <f>MIN(Input!BN79/(Input!BN81*12),AZ10)</f>
        <v/>
      </c>
      <c r="BA11" s="53">
        <f>MIN(Input!BN79/(Input!BN81*12),BA10)</f>
        <v/>
      </c>
      <c r="BB11" s="53">
        <f>MIN(Input!BN79/(Input!BN81*12),BB10)</f>
        <v/>
      </c>
      <c r="BC11" s="53">
        <f>MIN(Input!BN79/(Input!BN81*12),BC10)</f>
        <v/>
      </c>
      <c r="BD11" s="53">
        <f>MIN(Input!BN79/(Input!BN81*12),BD10)</f>
        <v/>
      </c>
      <c r="BE11" s="53">
        <f>MIN(Input!BN79/(Input!BN81*12),BE10)</f>
        <v/>
      </c>
      <c r="BF11" s="53">
        <f>MIN(Input!BN79/(Input!BN81*12),BF10)</f>
        <v/>
      </c>
      <c r="BG11" s="53">
        <f>MIN(Input!BN79/(Input!BN81*12),BG10)</f>
        <v/>
      </c>
      <c r="BH11" s="53">
        <f>MIN(Input!BN79/(Input!BN81*12),BH10)</f>
        <v/>
      </c>
      <c r="BI11" s="53">
        <f>MIN(Input!BN79/(Input!BN81*12),BI10)</f>
        <v/>
      </c>
      <c r="BJ11" s="53">
        <f>MIN(Input!BN79/(Input!BN81*12),BJ10)</f>
        <v/>
      </c>
      <c r="BK11" s="53">
        <f>MIN(Input!BN79/(Input!BN81*12),BK10)</f>
        <v/>
      </c>
      <c r="BL11" s="53">
        <f>MIN(Input!BN79/(Input!BN81*12),BL10)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51" t="inlineStr">
        <is>
          <t xml:space="preserve">    = Долг — конец месяца</t>
        </is>
      </c>
      <c r="B12" s="52" t="inlineStr">
        <is>
          <t>млн ₽</t>
        </is>
      </c>
      <c r="C12" s="48" t="inlineStr">
        <is>
          <t>—</t>
        </is>
      </c>
      <c r="D12" s="45" t="inlineStr"/>
      <c r="E12" s="67">
        <f>E10-E11</f>
        <v/>
      </c>
      <c r="F12" s="67">
        <f>F10-F11</f>
        <v/>
      </c>
      <c r="G12" s="67">
        <f>G10-G11</f>
        <v/>
      </c>
      <c r="H12" s="67">
        <f>H10-H11</f>
        <v/>
      </c>
      <c r="I12" s="67">
        <f>I10-I11</f>
        <v/>
      </c>
      <c r="J12" s="67">
        <f>J10-J11</f>
        <v/>
      </c>
      <c r="K12" s="67">
        <f>K10-K11</f>
        <v/>
      </c>
      <c r="L12" s="67">
        <f>L10-L11</f>
        <v/>
      </c>
      <c r="M12" s="67">
        <f>M10-M11</f>
        <v/>
      </c>
      <c r="N12" s="67">
        <f>N10-N11</f>
        <v/>
      </c>
      <c r="O12" s="67">
        <f>O10-O11</f>
        <v/>
      </c>
      <c r="P12" s="67">
        <f>P10-P11</f>
        <v/>
      </c>
      <c r="Q12" s="67">
        <f>Q10-Q11</f>
        <v/>
      </c>
      <c r="R12" s="67">
        <f>R10-R11</f>
        <v/>
      </c>
      <c r="S12" s="67">
        <f>S10-S11</f>
        <v/>
      </c>
      <c r="T12" s="67">
        <f>T10-T11</f>
        <v/>
      </c>
      <c r="U12" s="67">
        <f>U10-U11</f>
        <v/>
      </c>
      <c r="V12" s="67">
        <f>V10-V11</f>
        <v/>
      </c>
      <c r="W12" s="67">
        <f>W10-W11</f>
        <v/>
      </c>
      <c r="X12" s="67">
        <f>X10-X11</f>
        <v/>
      </c>
      <c r="Y12" s="67">
        <f>Y10-Y11</f>
        <v/>
      </c>
      <c r="Z12" s="67">
        <f>Z10-Z11</f>
        <v/>
      </c>
      <c r="AA12" s="67">
        <f>AA10-AA11</f>
        <v/>
      </c>
      <c r="AB12" s="67">
        <f>AB10-AB11</f>
        <v/>
      </c>
      <c r="AC12" s="67">
        <f>AC10-AC11</f>
        <v/>
      </c>
      <c r="AD12" s="67">
        <f>AD10-AD11</f>
        <v/>
      </c>
      <c r="AE12" s="67">
        <f>AE10-AE11</f>
        <v/>
      </c>
      <c r="AF12" s="67">
        <f>AF10-AF11</f>
        <v/>
      </c>
      <c r="AG12" s="67">
        <f>AG10-AG11</f>
        <v/>
      </c>
      <c r="AH12" s="67">
        <f>AH10-AH11</f>
        <v/>
      </c>
      <c r="AI12" s="67">
        <f>AI10-AI11</f>
        <v/>
      </c>
      <c r="AJ12" s="67">
        <f>AJ10-AJ11</f>
        <v/>
      </c>
      <c r="AK12" s="67">
        <f>AK10-AK11</f>
        <v/>
      </c>
      <c r="AL12" s="67">
        <f>AL10-AL11</f>
        <v/>
      </c>
      <c r="AM12" s="67">
        <f>AM10-AM11</f>
        <v/>
      </c>
      <c r="AN12" s="67">
        <f>AN10-AN11</f>
        <v/>
      </c>
      <c r="AO12" s="67">
        <f>AO10-AO11</f>
        <v/>
      </c>
      <c r="AP12" s="67">
        <f>AP10-AP11</f>
        <v/>
      </c>
      <c r="AQ12" s="67">
        <f>AQ10-AQ11</f>
        <v/>
      </c>
      <c r="AR12" s="67">
        <f>AR10-AR11</f>
        <v/>
      </c>
      <c r="AS12" s="67">
        <f>AS10-AS11</f>
        <v/>
      </c>
      <c r="AT12" s="67">
        <f>AT10-AT11</f>
        <v/>
      </c>
      <c r="AU12" s="67">
        <f>AU10-AU11</f>
        <v/>
      </c>
      <c r="AV12" s="67">
        <f>AV10-AV11</f>
        <v/>
      </c>
      <c r="AW12" s="67">
        <f>AW10-AW11</f>
        <v/>
      </c>
      <c r="AX12" s="67">
        <f>AX10-AX11</f>
        <v/>
      </c>
      <c r="AY12" s="67">
        <f>AY10-AY11</f>
        <v/>
      </c>
      <c r="AZ12" s="67">
        <f>AZ10-AZ11</f>
        <v/>
      </c>
      <c r="BA12" s="67">
        <f>BA10-BA11</f>
        <v/>
      </c>
      <c r="BB12" s="67">
        <f>BB10-BB11</f>
        <v/>
      </c>
      <c r="BC12" s="67">
        <f>BC10-BC11</f>
        <v/>
      </c>
      <c r="BD12" s="67">
        <f>BD10-BD11</f>
        <v/>
      </c>
      <c r="BE12" s="67">
        <f>BE10-BE11</f>
        <v/>
      </c>
      <c r="BF12" s="67">
        <f>BF10-BF11</f>
        <v/>
      </c>
      <c r="BG12" s="67">
        <f>BG10-BG11</f>
        <v/>
      </c>
      <c r="BH12" s="67">
        <f>BH10-BH11</f>
        <v/>
      </c>
      <c r="BI12" s="67">
        <f>BI10-BI11</f>
        <v/>
      </c>
      <c r="BJ12" s="67">
        <f>BJ10-BJ11</f>
        <v/>
      </c>
      <c r="BK12" s="67">
        <f>BK10-BK11</f>
        <v/>
      </c>
      <c r="BL12" s="67">
        <f>BL10-BL11</f>
        <v/>
      </c>
      <c r="BN12" s="53">
        <f>P12</f>
        <v/>
      </c>
      <c r="BO12" s="53">
        <f>AB12</f>
        <v/>
      </c>
      <c r="BP12" s="53">
        <f>AN12</f>
        <v/>
      </c>
      <c r="BQ12" s="53">
        <f>AZ12</f>
        <v/>
      </c>
      <c r="BR12" s="53">
        <f>BL12</f>
        <v/>
      </c>
    </row>
    <row r="13">
      <c r="A13" s="80" t="inlineStr">
        <is>
          <t xml:space="preserve">    Проценты (Interest = остаток_нач × ставка/12)</t>
        </is>
      </c>
      <c r="B13" s="81" t="inlineStr">
        <is>
          <t>млн ₽</t>
        </is>
      </c>
      <c r="C13" s="82">
        <f>SUM(BN13:BR13)</f>
        <v/>
      </c>
      <c r="D13" s="45" t="inlineStr"/>
      <c r="E13" s="82">
        <f>E10*Input!BN80/12</f>
        <v/>
      </c>
      <c r="F13" s="82">
        <f>F10*Input!BN80/12</f>
        <v/>
      </c>
      <c r="G13" s="82">
        <f>G10*Input!BN80/12</f>
        <v/>
      </c>
      <c r="H13" s="82">
        <f>H10*Input!BN80/12</f>
        <v/>
      </c>
      <c r="I13" s="82">
        <f>I10*Input!BN80/12</f>
        <v/>
      </c>
      <c r="J13" s="82">
        <f>J10*Input!BN80/12</f>
        <v/>
      </c>
      <c r="K13" s="82">
        <f>K10*Input!BN80/12</f>
        <v/>
      </c>
      <c r="L13" s="82">
        <f>L10*Input!BN80/12</f>
        <v/>
      </c>
      <c r="M13" s="82">
        <f>M10*Input!BN80/12</f>
        <v/>
      </c>
      <c r="N13" s="82">
        <f>N10*Input!BN80/12</f>
        <v/>
      </c>
      <c r="O13" s="82">
        <f>O10*Input!BN80/12</f>
        <v/>
      </c>
      <c r="P13" s="82">
        <f>P10*Input!BN80/12</f>
        <v/>
      </c>
      <c r="Q13" s="82">
        <f>Q10*Input!BN80/12</f>
        <v/>
      </c>
      <c r="R13" s="82">
        <f>R10*Input!BN80/12</f>
        <v/>
      </c>
      <c r="S13" s="82">
        <f>S10*Input!BN80/12</f>
        <v/>
      </c>
      <c r="T13" s="82">
        <f>T10*Input!BN80/12</f>
        <v/>
      </c>
      <c r="U13" s="82">
        <f>U10*Input!BN80/12</f>
        <v/>
      </c>
      <c r="V13" s="82">
        <f>V10*Input!BN80/12</f>
        <v/>
      </c>
      <c r="W13" s="82">
        <f>W10*Input!BN80/12</f>
        <v/>
      </c>
      <c r="X13" s="82">
        <f>X10*Input!BN80/12</f>
        <v/>
      </c>
      <c r="Y13" s="82">
        <f>Y10*Input!BN80/12</f>
        <v/>
      </c>
      <c r="Z13" s="82">
        <f>Z10*Input!BN80/12</f>
        <v/>
      </c>
      <c r="AA13" s="82">
        <f>AA10*Input!BN80/12</f>
        <v/>
      </c>
      <c r="AB13" s="82">
        <f>AB10*Input!BN80/12</f>
        <v/>
      </c>
      <c r="AC13" s="82">
        <f>AC10*Input!BN80/12</f>
        <v/>
      </c>
      <c r="AD13" s="82">
        <f>AD10*Input!BN80/12</f>
        <v/>
      </c>
      <c r="AE13" s="82">
        <f>AE10*Input!BN80/12</f>
        <v/>
      </c>
      <c r="AF13" s="82">
        <f>AF10*Input!BN80/12</f>
        <v/>
      </c>
      <c r="AG13" s="82">
        <f>AG10*Input!BN80/12</f>
        <v/>
      </c>
      <c r="AH13" s="82">
        <f>AH10*Input!BN80/12</f>
        <v/>
      </c>
      <c r="AI13" s="82">
        <f>AI10*Input!BN80/12</f>
        <v/>
      </c>
      <c r="AJ13" s="82">
        <f>AJ10*Input!BN80/12</f>
        <v/>
      </c>
      <c r="AK13" s="82">
        <f>AK10*Input!BN80/12</f>
        <v/>
      </c>
      <c r="AL13" s="82">
        <f>AL10*Input!BN80/12</f>
        <v/>
      </c>
      <c r="AM13" s="82">
        <f>AM10*Input!BN80/12</f>
        <v/>
      </c>
      <c r="AN13" s="82">
        <f>AN10*Input!BN80/12</f>
        <v/>
      </c>
      <c r="AO13" s="82">
        <f>AO10*Input!BN80/12</f>
        <v/>
      </c>
      <c r="AP13" s="82">
        <f>AP10*Input!BN80/12</f>
        <v/>
      </c>
      <c r="AQ13" s="82">
        <f>AQ10*Input!BN80/12</f>
        <v/>
      </c>
      <c r="AR13" s="82">
        <f>AR10*Input!BN80/12</f>
        <v/>
      </c>
      <c r="AS13" s="82">
        <f>AS10*Input!BN80/12</f>
        <v/>
      </c>
      <c r="AT13" s="82">
        <f>AT10*Input!BN80/12</f>
        <v/>
      </c>
      <c r="AU13" s="82">
        <f>AU10*Input!BN80/12</f>
        <v/>
      </c>
      <c r="AV13" s="82">
        <f>AV10*Input!BN80/12</f>
        <v/>
      </c>
      <c r="AW13" s="82">
        <f>AW10*Input!BN80/12</f>
        <v/>
      </c>
      <c r="AX13" s="82">
        <f>AX10*Input!BN80/12</f>
        <v/>
      </c>
      <c r="AY13" s="82">
        <f>AY10*Input!BN80/12</f>
        <v/>
      </c>
      <c r="AZ13" s="82">
        <f>AZ10*Input!BN80/12</f>
        <v/>
      </c>
      <c r="BA13" s="82">
        <f>BA10*Input!BN80/12</f>
        <v/>
      </c>
      <c r="BB13" s="82">
        <f>BB10*Input!BN80/12</f>
        <v/>
      </c>
      <c r="BC13" s="82">
        <f>BC10*Input!BN80/12</f>
        <v/>
      </c>
      <c r="BD13" s="82">
        <f>BD10*Input!BN80/12</f>
        <v/>
      </c>
      <c r="BE13" s="82">
        <f>BE10*Input!BN80/12</f>
        <v/>
      </c>
      <c r="BF13" s="82">
        <f>BF10*Input!BN80/12</f>
        <v/>
      </c>
      <c r="BG13" s="82">
        <f>BG10*Input!BN80/12</f>
        <v/>
      </c>
      <c r="BH13" s="82">
        <f>BH10*Input!BN80/12</f>
        <v/>
      </c>
      <c r="BI13" s="82">
        <f>BI10*Input!BN80/12</f>
        <v/>
      </c>
      <c r="BJ13" s="82">
        <f>BJ10*Input!BN80/12</f>
        <v/>
      </c>
      <c r="BK13" s="82">
        <f>BK10*Input!BN80/12</f>
        <v/>
      </c>
      <c r="BL13" s="82">
        <f>BL10*Input!BN80/12</f>
        <v/>
      </c>
      <c r="BN13" s="82">
        <f>SUM(E13:P13)</f>
        <v/>
      </c>
      <c r="BO13" s="82">
        <f>SUM(Q13:AB13)</f>
        <v/>
      </c>
      <c r="BP13" s="82">
        <f>SUM(AC13:AN13)</f>
        <v/>
      </c>
      <c r="BQ13" s="82">
        <f>SUM(AO13:AZ13)</f>
        <v/>
      </c>
      <c r="BR13" s="82">
        <f>SUM(BA13:BL13)</f>
        <v/>
      </c>
    </row>
    <row r="14"/>
    <row r="15" ht="22" customHeight="1">
      <c r="A15" s="41" t="inlineStr">
        <is>
          <t xml:space="preserve">  ПРОВЕРКА ОБСЛУЖИВАНИЯ ДОЛГА (DSCR, годовой)</t>
        </is>
      </c>
    </row>
    <row r="16">
      <c r="A16" s="42" t="inlineStr">
        <is>
          <t xml:space="preserve">    EBITDA (импорт, годовой)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42" t="inlineStr"/>
      <c r="F16" s="42" t="inlineStr"/>
      <c r="G16" s="42" t="inlineStr"/>
      <c r="H16" s="42" t="inlineStr"/>
      <c r="I16" s="42" t="inlineStr"/>
      <c r="J16" s="42" t="inlineStr"/>
      <c r="K16" s="42" t="inlineStr"/>
      <c r="L16" s="42" t="inlineStr"/>
      <c r="M16" s="42" t="inlineStr"/>
      <c r="N16" s="42" t="inlineStr"/>
      <c r="O16" s="42" t="inlineStr"/>
      <c r="P16" s="42" t="inlineStr"/>
      <c r="Q16" s="42" t="inlineStr"/>
      <c r="R16" s="42" t="inlineStr"/>
      <c r="S16" s="42" t="inlineStr"/>
      <c r="T16" s="42" t="inlineStr"/>
      <c r="U16" s="42" t="inlineStr"/>
      <c r="V16" s="42" t="inlineStr"/>
      <c r="W16" s="42" t="inlineStr"/>
      <c r="X16" s="42" t="inlineStr"/>
      <c r="Y16" s="42" t="inlineStr"/>
      <c r="Z16" s="42" t="inlineStr"/>
      <c r="AA16" s="42" t="inlineStr"/>
      <c r="AB16" s="42" t="inlineStr"/>
      <c r="AC16" s="42" t="inlineStr"/>
      <c r="AD16" s="42" t="inlineStr"/>
      <c r="AE16" s="42" t="inlineStr"/>
      <c r="AF16" s="42" t="inlineStr"/>
      <c r="AG16" s="42" t="inlineStr"/>
      <c r="AH16" s="42" t="inlineStr"/>
      <c r="AI16" s="42" t="inlineStr"/>
      <c r="AJ16" s="42" t="inlineStr"/>
      <c r="AK16" s="42" t="inlineStr"/>
      <c r="AL16" s="42" t="inlineStr"/>
      <c r="AM16" s="42" t="inlineStr"/>
      <c r="AN16" s="42" t="inlineStr"/>
      <c r="AO16" s="42" t="inlineStr"/>
      <c r="AP16" s="42" t="inlineStr"/>
      <c r="AQ16" s="42" t="inlineStr"/>
      <c r="AR16" s="42" t="inlineStr"/>
      <c r="AS16" s="42" t="inlineStr"/>
      <c r="AT16" s="42" t="inlineStr"/>
      <c r="AU16" s="42" t="inlineStr"/>
      <c r="AV16" s="42" t="inlineStr"/>
      <c r="AW16" s="42" t="inlineStr"/>
      <c r="AX16" s="42" t="inlineStr"/>
      <c r="AY16" s="42" t="inlineStr"/>
      <c r="AZ16" s="42" t="inlineStr"/>
      <c r="BA16" s="42" t="inlineStr"/>
      <c r="BB16" s="42" t="inlineStr"/>
      <c r="BC16" s="42" t="inlineStr"/>
      <c r="BD16" s="42" t="inlineStr"/>
      <c r="BE16" s="42" t="inlineStr"/>
      <c r="BF16" s="42" t="inlineStr"/>
      <c r="BG16" s="42" t="inlineStr"/>
      <c r="BH16" s="42" t="inlineStr"/>
      <c r="BI16" s="42" t="inlineStr"/>
      <c r="BJ16" s="42" t="inlineStr"/>
      <c r="BK16" s="42" t="inlineStr"/>
      <c r="BL16" s="42" t="inlineStr"/>
      <c r="BN16" s="88">
        <f>'COGS &amp; SGA'!BN32</f>
        <v/>
      </c>
      <c r="BO16" s="88">
        <f>'COGS &amp; SGA'!BO32</f>
        <v/>
      </c>
      <c r="BP16" s="88">
        <f>'COGS &amp; SGA'!BP32</f>
        <v/>
      </c>
      <c r="BQ16" s="88">
        <f>'COGS &amp; SGA'!BQ32</f>
        <v/>
      </c>
      <c r="BR16" s="88">
        <f>'COGS &amp; SGA'!BR32</f>
        <v/>
      </c>
    </row>
    <row r="17">
      <c r="A17" s="42" t="inlineStr">
        <is>
          <t xml:space="preserve">    Debt Service (Principal + Interest, годовой)</t>
        </is>
      </c>
      <c r="B17" s="43" t="inlineStr">
        <is>
          <t>млн ₽</t>
        </is>
      </c>
      <c r="C17" s="48" t="inlineStr">
        <is>
          <t>—</t>
        </is>
      </c>
      <c r="D17" s="45" t="inlineStr"/>
      <c r="E17" s="42" t="inlineStr"/>
      <c r="F17" s="42" t="inlineStr"/>
      <c r="G17" s="42" t="inlineStr"/>
      <c r="H17" s="42" t="inlineStr"/>
      <c r="I17" s="42" t="inlineStr"/>
      <c r="J17" s="42" t="inlineStr"/>
      <c r="K17" s="42" t="inlineStr"/>
      <c r="L17" s="42" t="inlineStr"/>
      <c r="M17" s="42" t="inlineStr"/>
      <c r="N17" s="42" t="inlineStr"/>
      <c r="O17" s="42" t="inlineStr"/>
      <c r="P17" s="42" t="inlineStr"/>
      <c r="Q17" s="42" t="inlineStr"/>
      <c r="R17" s="42" t="inlineStr"/>
      <c r="S17" s="42" t="inlineStr"/>
      <c r="T17" s="42" t="inlineStr"/>
      <c r="U17" s="42" t="inlineStr"/>
      <c r="V17" s="42" t="inlineStr"/>
      <c r="W17" s="42" t="inlineStr"/>
      <c r="X17" s="42" t="inlineStr"/>
      <c r="Y17" s="42" t="inlineStr"/>
      <c r="Z17" s="42" t="inlineStr"/>
      <c r="AA17" s="42" t="inlineStr"/>
      <c r="AB17" s="42" t="inlineStr"/>
      <c r="AC17" s="42" t="inlineStr"/>
      <c r="AD17" s="42" t="inlineStr"/>
      <c r="AE17" s="42" t="inlineStr"/>
      <c r="AF17" s="42" t="inlineStr"/>
      <c r="AG17" s="42" t="inlineStr"/>
      <c r="AH17" s="42" t="inlineStr"/>
      <c r="AI17" s="42" t="inlineStr"/>
      <c r="AJ17" s="42" t="inlineStr"/>
      <c r="AK17" s="42" t="inlineStr"/>
      <c r="AL17" s="42" t="inlineStr"/>
      <c r="AM17" s="42" t="inlineStr"/>
      <c r="AN17" s="42" t="inlineStr"/>
      <c r="AO17" s="42" t="inlineStr"/>
      <c r="AP17" s="42" t="inlineStr"/>
      <c r="AQ17" s="42" t="inlineStr"/>
      <c r="AR17" s="42" t="inlineStr"/>
      <c r="AS17" s="42" t="inlineStr"/>
      <c r="AT17" s="42" t="inlineStr"/>
      <c r="AU17" s="42" t="inlineStr"/>
      <c r="AV17" s="42" t="inlineStr"/>
      <c r="AW17" s="42" t="inlineStr"/>
      <c r="AX17" s="42" t="inlineStr"/>
      <c r="AY17" s="42" t="inlineStr"/>
      <c r="AZ17" s="42" t="inlineStr"/>
      <c r="BA17" s="42" t="inlineStr"/>
      <c r="BB17" s="42" t="inlineStr"/>
      <c r="BC17" s="42" t="inlineStr"/>
      <c r="BD17" s="42" t="inlineStr"/>
      <c r="BE17" s="42" t="inlineStr"/>
      <c r="BF17" s="42" t="inlineStr"/>
      <c r="BG17" s="42" t="inlineStr"/>
      <c r="BH17" s="42" t="inlineStr"/>
      <c r="BI17" s="42" t="inlineStr"/>
      <c r="BJ17" s="42" t="inlineStr"/>
      <c r="BK17" s="42" t="inlineStr"/>
      <c r="BL17" s="42" t="inlineStr"/>
      <c r="BN17" s="53">
        <f>BN11+BN13</f>
        <v/>
      </c>
      <c r="BO17" s="53">
        <f>BO11+BO13</f>
        <v/>
      </c>
      <c r="BP17" s="53">
        <f>BP11+BP13</f>
        <v/>
      </c>
      <c r="BQ17" s="53">
        <f>BQ11+BQ13</f>
        <v/>
      </c>
      <c r="BR17" s="53">
        <f>BR11+BR13</f>
        <v/>
      </c>
    </row>
    <row r="18">
      <c r="A18" s="51" t="inlineStr">
        <is>
          <t xml:space="preserve">    DSCR = EBITDA / Debt Service  (≥ 1.2; «н/п» при нулевом долге)</t>
        </is>
      </c>
      <c r="B18" s="52" t="inlineStr">
        <is>
          <t>x</t>
        </is>
      </c>
      <c r="C18" s="48" t="inlineStr">
        <is>
          <t>—</t>
        </is>
      </c>
      <c r="D18" s="45" t="inlineStr"/>
      <c r="E18" s="42" t="inlineStr"/>
      <c r="F18" s="42" t="inlineStr"/>
      <c r="G18" s="42" t="inlineStr"/>
      <c r="H18" s="42" t="inlineStr"/>
      <c r="I18" s="42" t="inlineStr"/>
      <c r="J18" s="42" t="inlineStr"/>
      <c r="K18" s="42" t="inlineStr"/>
      <c r="L18" s="42" t="inlineStr"/>
      <c r="M18" s="42" t="inlineStr"/>
      <c r="N18" s="42" t="inlineStr"/>
      <c r="O18" s="42" t="inlineStr"/>
      <c r="P18" s="42" t="inlineStr"/>
      <c r="Q18" s="42" t="inlineStr"/>
      <c r="R18" s="42" t="inlineStr"/>
      <c r="S18" s="42" t="inlineStr"/>
      <c r="T18" s="42" t="inlineStr"/>
      <c r="U18" s="42" t="inlineStr"/>
      <c r="V18" s="42" t="inlineStr"/>
      <c r="W18" s="42" t="inlineStr"/>
      <c r="X18" s="42" t="inlineStr"/>
      <c r="Y18" s="42" t="inlineStr"/>
      <c r="Z18" s="42" t="inlineStr"/>
      <c r="AA18" s="42" t="inlineStr"/>
      <c r="AB18" s="42" t="inlineStr"/>
      <c r="AC18" s="42" t="inlineStr"/>
      <c r="AD18" s="42" t="inlineStr"/>
      <c r="AE18" s="42" t="inlineStr"/>
      <c r="AF18" s="42" t="inlineStr"/>
      <c r="AG18" s="42" t="inlineStr"/>
      <c r="AH18" s="42" t="inlineStr"/>
      <c r="AI18" s="42" t="inlineStr"/>
      <c r="AJ18" s="42" t="inlineStr"/>
      <c r="AK18" s="42" t="inlineStr"/>
      <c r="AL18" s="42" t="inlineStr"/>
      <c r="AM18" s="42" t="inlineStr"/>
      <c r="AN18" s="42" t="inlineStr"/>
      <c r="AO18" s="42" t="inlineStr"/>
      <c r="AP18" s="42" t="inlineStr"/>
      <c r="AQ18" s="42" t="inlineStr"/>
      <c r="AR18" s="42" t="inlineStr"/>
      <c r="AS18" s="42" t="inlineStr"/>
      <c r="AT18" s="42" t="inlineStr"/>
      <c r="AU18" s="42" t="inlineStr"/>
      <c r="AV18" s="42" t="inlineStr"/>
      <c r="AW18" s="42" t="inlineStr"/>
      <c r="AX18" s="42" t="inlineStr"/>
      <c r="AY18" s="42" t="inlineStr"/>
      <c r="AZ18" s="42" t="inlineStr"/>
      <c r="BA18" s="42" t="inlineStr"/>
      <c r="BB18" s="42" t="inlineStr"/>
      <c r="BC18" s="42" t="inlineStr"/>
      <c r="BD18" s="42" t="inlineStr"/>
      <c r="BE18" s="42" t="inlineStr"/>
      <c r="BF18" s="42" t="inlineStr"/>
      <c r="BG18" s="42" t="inlineStr"/>
      <c r="BH18" s="42" t="inlineStr"/>
      <c r="BI18" s="42" t="inlineStr"/>
      <c r="BJ18" s="42" t="inlineStr"/>
      <c r="BK18" s="42" t="inlineStr"/>
      <c r="BL18" s="42" t="inlineStr"/>
      <c r="BN18" s="89">
        <f>IF(Input!BN79=0,"н/п",IFERROR(BN16/BN17,0))</f>
        <v/>
      </c>
      <c r="BO18" s="89">
        <f>IF(Input!BN79=0,"н/п",IFERROR(BO16/BO17,0))</f>
        <v/>
      </c>
      <c r="BP18" s="89">
        <f>IF(Input!BN79=0,"н/п",IFERROR(BP16/BP17,0))</f>
        <v/>
      </c>
      <c r="BQ18" s="89">
        <f>IF(Input!BN79=0,"н/п",IFERROR(BQ16/BQ17,0))</f>
        <v/>
      </c>
      <c r="BR18" s="89">
        <f>IF(Input!BN79=0,"н/п",IFERROR(BR16/BR17,0))</f>
        <v/>
      </c>
    </row>
    <row r="19" ht="22" customHeight="1">
      <c r="A19" s="90" t="inlineStr">
        <is>
          <t xml:space="preserve">  REVOLVER — ЛИНИЯ ПОД КАССОВЫЙ РАЗРЫВ (выборка до Min Cash, cash sweep)</t>
        </is>
      </c>
      <c r="B19" s="75" t="n"/>
      <c r="C19" s="75" t="n"/>
      <c r="D19" s="75" t="n"/>
      <c r="E19" s="75" t="n"/>
      <c r="F19" s="75" t="n"/>
      <c r="G19" s="75" t="n"/>
      <c r="H19" s="75" t="n"/>
      <c r="I19" s="75" t="n"/>
      <c r="J19" s="75" t="n"/>
      <c r="K19" s="75" t="n"/>
      <c r="L19" s="75" t="n"/>
      <c r="M19" s="75" t="n"/>
      <c r="N19" s="75" t="n"/>
      <c r="O19" s="75" t="n"/>
      <c r="P19" s="75" t="n"/>
      <c r="Q19" s="75" t="n"/>
      <c r="R19" s="75" t="n"/>
      <c r="S19" s="75" t="n"/>
      <c r="T19" s="75" t="n"/>
      <c r="U19" s="75" t="n"/>
      <c r="V19" s="75" t="n"/>
      <c r="W19" s="75" t="n"/>
      <c r="X19" s="75" t="n"/>
      <c r="Y19" s="75" t="n"/>
      <c r="Z19" s="75" t="n"/>
      <c r="AA19" s="75" t="n"/>
      <c r="AB19" s="75" t="n"/>
      <c r="AC19" s="75" t="n"/>
      <c r="AD19" s="75" t="n"/>
      <c r="AE19" s="75" t="n"/>
      <c r="AF19" s="75" t="n"/>
      <c r="AG19" s="75" t="n"/>
      <c r="AH19" s="75" t="n"/>
      <c r="AI19" s="75" t="n"/>
      <c r="AJ19" s="75" t="n"/>
      <c r="AK19" s="75" t="n"/>
      <c r="AL19" s="75" t="n"/>
      <c r="AM19" s="75" t="n"/>
      <c r="AN19" s="75" t="n"/>
      <c r="AO19" s="75" t="n"/>
      <c r="AP19" s="75" t="n"/>
      <c r="AQ19" s="75" t="n"/>
      <c r="AR19" s="75" t="n"/>
      <c r="AS19" s="75" t="n"/>
      <c r="AT19" s="75" t="n"/>
      <c r="AU19" s="75" t="n"/>
      <c r="AV19" s="75" t="n"/>
      <c r="AW19" s="75" t="n"/>
      <c r="AX19" s="75" t="n"/>
      <c r="AY19" s="75" t="n"/>
      <c r="AZ19" s="75" t="n"/>
      <c r="BA19" s="75" t="n"/>
      <c r="BB19" s="75" t="n"/>
      <c r="BC19" s="75" t="n"/>
      <c r="BD19" s="75" t="n"/>
      <c r="BE19" s="75" t="n"/>
      <c r="BF19" s="75" t="n"/>
      <c r="BG19" s="75" t="n"/>
      <c r="BH19" s="75" t="n"/>
      <c r="BI19" s="75" t="n"/>
      <c r="BJ19" s="75" t="n"/>
      <c r="BK19" s="75" t="n"/>
      <c r="BL19" s="75" t="n"/>
      <c r="BM19" s="75" t="n"/>
      <c r="BN19" s="75" t="n"/>
      <c r="BO19" s="75" t="n"/>
      <c r="BP19" s="75" t="n"/>
      <c r="BQ19" s="75" t="n"/>
      <c r="BR19" s="76" t="n"/>
    </row>
    <row r="20">
      <c r="A20" s="42" t="inlineStr">
        <is>
          <t xml:space="preserve">    Cash до revolver-операций месяца (справочно)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79">
        <f>'Cash Flow'!E24+'Cash Flow'!E10+'Cash Flow'!E14+'Cash Flow'!E17</f>
        <v/>
      </c>
      <c r="F20" s="79">
        <f>'Cash Flow'!F24+'Cash Flow'!F10+'Cash Flow'!F14+'Cash Flow'!F17</f>
        <v/>
      </c>
      <c r="G20" s="79">
        <f>'Cash Flow'!G24+'Cash Flow'!G10+'Cash Flow'!G14+'Cash Flow'!G17</f>
        <v/>
      </c>
      <c r="H20" s="79">
        <f>'Cash Flow'!H24+'Cash Flow'!H10+'Cash Flow'!H14+'Cash Flow'!H17</f>
        <v/>
      </c>
      <c r="I20" s="79">
        <f>'Cash Flow'!I24+'Cash Flow'!I10+'Cash Flow'!I14+'Cash Flow'!I17</f>
        <v/>
      </c>
      <c r="J20" s="79">
        <f>'Cash Flow'!J24+'Cash Flow'!J10+'Cash Flow'!J14+'Cash Flow'!J17</f>
        <v/>
      </c>
      <c r="K20" s="79">
        <f>'Cash Flow'!K24+'Cash Flow'!K10+'Cash Flow'!K14+'Cash Flow'!K17</f>
        <v/>
      </c>
      <c r="L20" s="79">
        <f>'Cash Flow'!L24+'Cash Flow'!L10+'Cash Flow'!L14+'Cash Flow'!L17</f>
        <v/>
      </c>
      <c r="M20" s="79">
        <f>'Cash Flow'!M24+'Cash Flow'!M10+'Cash Flow'!M14+'Cash Flow'!M17</f>
        <v/>
      </c>
      <c r="N20" s="79">
        <f>'Cash Flow'!N24+'Cash Flow'!N10+'Cash Flow'!N14+'Cash Flow'!N17</f>
        <v/>
      </c>
      <c r="O20" s="79">
        <f>'Cash Flow'!O24+'Cash Flow'!O10+'Cash Flow'!O14+'Cash Flow'!O17</f>
        <v/>
      </c>
      <c r="P20" s="79">
        <f>'Cash Flow'!P24+'Cash Flow'!P10+'Cash Flow'!P14+'Cash Flow'!P17</f>
        <v/>
      </c>
      <c r="Q20" s="79">
        <f>'Cash Flow'!Q24+'Cash Flow'!Q10+'Cash Flow'!Q14+'Cash Flow'!Q17</f>
        <v/>
      </c>
      <c r="R20" s="79">
        <f>'Cash Flow'!R24+'Cash Flow'!R10+'Cash Flow'!R14+'Cash Flow'!R17</f>
        <v/>
      </c>
      <c r="S20" s="79">
        <f>'Cash Flow'!S24+'Cash Flow'!S10+'Cash Flow'!S14+'Cash Flow'!S17</f>
        <v/>
      </c>
      <c r="T20" s="79">
        <f>'Cash Flow'!T24+'Cash Flow'!T10+'Cash Flow'!T14+'Cash Flow'!T17</f>
        <v/>
      </c>
      <c r="U20" s="79">
        <f>'Cash Flow'!U24+'Cash Flow'!U10+'Cash Flow'!U14+'Cash Flow'!U17</f>
        <v/>
      </c>
      <c r="V20" s="79">
        <f>'Cash Flow'!V24+'Cash Flow'!V10+'Cash Flow'!V14+'Cash Flow'!V17</f>
        <v/>
      </c>
      <c r="W20" s="79">
        <f>'Cash Flow'!W24+'Cash Flow'!W10+'Cash Flow'!W14+'Cash Flow'!W17</f>
        <v/>
      </c>
      <c r="X20" s="79">
        <f>'Cash Flow'!X24+'Cash Flow'!X10+'Cash Flow'!X14+'Cash Flow'!X17</f>
        <v/>
      </c>
      <c r="Y20" s="79">
        <f>'Cash Flow'!Y24+'Cash Flow'!Y10+'Cash Flow'!Y14+'Cash Flow'!Y17</f>
        <v/>
      </c>
      <c r="Z20" s="79">
        <f>'Cash Flow'!Z24+'Cash Flow'!Z10+'Cash Flow'!Z14+'Cash Flow'!Z17</f>
        <v/>
      </c>
      <c r="AA20" s="79">
        <f>'Cash Flow'!AA24+'Cash Flow'!AA10+'Cash Flow'!AA14+'Cash Flow'!AA17</f>
        <v/>
      </c>
      <c r="AB20" s="79">
        <f>'Cash Flow'!AB24+'Cash Flow'!AB10+'Cash Flow'!AB14+'Cash Flow'!AB17</f>
        <v/>
      </c>
      <c r="AC20" s="79">
        <f>'Cash Flow'!AC24+'Cash Flow'!AC10+'Cash Flow'!AC14+'Cash Flow'!AC17</f>
        <v/>
      </c>
      <c r="AD20" s="79">
        <f>'Cash Flow'!AD24+'Cash Flow'!AD10+'Cash Flow'!AD14+'Cash Flow'!AD17</f>
        <v/>
      </c>
      <c r="AE20" s="79">
        <f>'Cash Flow'!AE24+'Cash Flow'!AE10+'Cash Flow'!AE14+'Cash Flow'!AE17</f>
        <v/>
      </c>
      <c r="AF20" s="79">
        <f>'Cash Flow'!AF24+'Cash Flow'!AF10+'Cash Flow'!AF14+'Cash Flow'!AF17</f>
        <v/>
      </c>
      <c r="AG20" s="79">
        <f>'Cash Flow'!AG24+'Cash Flow'!AG10+'Cash Flow'!AG14+'Cash Flow'!AG17</f>
        <v/>
      </c>
      <c r="AH20" s="79">
        <f>'Cash Flow'!AH24+'Cash Flow'!AH10+'Cash Flow'!AH14+'Cash Flow'!AH17</f>
        <v/>
      </c>
      <c r="AI20" s="79">
        <f>'Cash Flow'!AI24+'Cash Flow'!AI10+'Cash Flow'!AI14+'Cash Flow'!AI17</f>
        <v/>
      </c>
      <c r="AJ20" s="79">
        <f>'Cash Flow'!AJ24+'Cash Flow'!AJ10+'Cash Flow'!AJ14+'Cash Flow'!AJ17</f>
        <v/>
      </c>
      <c r="AK20" s="79">
        <f>'Cash Flow'!AK24+'Cash Flow'!AK10+'Cash Flow'!AK14+'Cash Flow'!AK17</f>
        <v/>
      </c>
      <c r="AL20" s="79">
        <f>'Cash Flow'!AL24+'Cash Flow'!AL10+'Cash Flow'!AL14+'Cash Flow'!AL17</f>
        <v/>
      </c>
      <c r="AM20" s="79">
        <f>'Cash Flow'!AM24+'Cash Flow'!AM10+'Cash Flow'!AM14+'Cash Flow'!AM17</f>
        <v/>
      </c>
      <c r="AN20" s="79">
        <f>'Cash Flow'!AN24+'Cash Flow'!AN10+'Cash Flow'!AN14+'Cash Flow'!AN17</f>
        <v/>
      </c>
      <c r="AO20" s="79">
        <f>'Cash Flow'!AO24+'Cash Flow'!AO10+'Cash Flow'!AO14+'Cash Flow'!AO17</f>
        <v/>
      </c>
      <c r="AP20" s="79">
        <f>'Cash Flow'!AP24+'Cash Flow'!AP10+'Cash Flow'!AP14+'Cash Flow'!AP17</f>
        <v/>
      </c>
      <c r="AQ20" s="79">
        <f>'Cash Flow'!AQ24+'Cash Flow'!AQ10+'Cash Flow'!AQ14+'Cash Flow'!AQ17</f>
        <v/>
      </c>
      <c r="AR20" s="79">
        <f>'Cash Flow'!AR24+'Cash Flow'!AR10+'Cash Flow'!AR14+'Cash Flow'!AR17</f>
        <v/>
      </c>
      <c r="AS20" s="79">
        <f>'Cash Flow'!AS24+'Cash Flow'!AS10+'Cash Flow'!AS14+'Cash Flow'!AS17</f>
        <v/>
      </c>
      <c r="AT20" s="79">
        <f>'Cash Flow'!AT24+'Cash Flow'!AT10+'Cash Flow'!AT14+'Cash Flow'!AT17</f>
        <v/>
      </c>
      <c r="AU20" s="79">
        <f>'Cash Flow'!AU24+'Cash Flow'!AU10+'Cash Flow'!AU14+'Cash Flow'!AU17</f>
        <v/>
      </c>
      <c r="AV20" s="79">
        <f>'Cash Flow'!AV24+'Cash Flow'!AV10+'Cash Flow'!AV14+'Cash Flow'!AV17</f>
        <v/>
      </c>
      <c r="AW20" s="79">
        <f>'Cash Flow'!AW24+'Cash Flow'!AW10+'Cash Flow'!AW14+'Cash Flow'!AW17</f>
        <v/>
      </c>
      <c r="AX20" s="79">
        <f>'Cash Flow'!AX24+'Cash Flow'!AX10+'Cash Flow'!AX14+'Cash Flow'!AX17</f>
        <v/>
      </c>
      <c r="AY20" s="79">
        <f>'Cash Flow'!AY24+'Cash Flow'!AY10+'Cash Flow'!AY14+'Cash Flow'!AY17</f>
        <v/>
      </c>
      <c r="AZ20" s="79">
        <f>'Cash Flow'!AZ24+'Cash Flow'!AZ10+'Cash Flow'!AZ14+'Cash Flow'!AZ17</f>
        <v/>
      </c>
      <c r="BA20" s="79">
        <f>'Cash Flow'!BA24+'Cash Flow'!BA10+'Cash Flow'!BA14+'Cash Flow'!BA17</f>
        <v/>
      </c>
      <c r="BB20" s="79">
        <f>'Cash Flow'!BB24+'Cash Flow'!BB10+'Cash Flow'!BB14+'Cash Flow'!BB17</f>
        <v/>
      </c>
      <c r="BC20" s="79">
        <f>'Cash Flow'!BC24+'Cash Flow'!BC10+'Cash Flow'!BC14+'Cash Flow'!BC17</f>
        <v/>
      </c>
      <c r="BD20" s="79">
        <f>'Cash Flow'!BD24+'Cash Flow'!BD10+'Cash Flow'!BD14+'Cash Flow'!BD17</f>
        <v/>
      </c>
      <c r="BE20" s="79">
        <f>'Cash Flow'!BE24+'Cash Flow'!BE10+'Cash Flow'!BE14+'Cash Flow'!BE17</f>
        <v/>
      </c>
      <c r="BF20" s="79">
        <f>'Cash Flow'!BF24+'Cash Flow'!BF10+'Cash Flow'!BF14+'Cash Flow'!BF17</f>
        <v/>
      </c>
      <c r="BG20" s="79">
        <f>'Cash Flow'!BG24+'Cash Flow'!BG10+'Cash Flow'!BG14+'Cash Flow'!BG17</f>
        <v/>
      </c>
      <c r="BH20" s="79">
        <f>'Cash Flow'!BH24+'Cash Flow'!BH10+'Cash Flow'!BH14+'Cash Flow'!BH17</f>
        <v/>
      </c>
      <c r="BI20" s="79">
        <f>'Cash Flow'!BI24+'Cash Flow'!BI10+'Cash Flow'!BI14+'Cash Flow'!BI17</f>
        <v/>
      </c>
      <c r="BJ20" s="79">
        <f>'Cash Flow'!BJ24+'Cash Flow'!BJ10+'Cash Flow'!BJ14+'Cash Flow'!BJ17</f>
        <v/>
      </c>
      <c r="BK20" s="79">
        <f>'Cash Flow'!BK24+'Cash Flow'!BK10+'Cash Flow'!BK14+'Cash Flow'!BK17</f>
        <v/>
      </c>
      <c r="BL20" s="79">
        <f>'Cash Flow'!BL24+'Cash Flow'!BL10+'Cash Flow'!BL14+'Cash Flow'!BL17</f>
        <v/>
      </c>
      <c r="BN20" s="79">
        <f>P20</f>
        <v/>
      </c>
      <c r="BO20" s="79">
        <f>AB20</f>
        <v/>
      </c>
      <c r="BP20" s="79">
        <f>AN20</f>
        <v/>
      </c>
      <c r="BQ20" s="79">
        <f>AZ20</f>
        <v/>
      </c>
      <c r="BR20" s="79">
        <f>BL20</f>
        <v/>
      </c>
    </row>
    <row r="21">
      <c r="A21" s="65" t="inlineStr">
        <is>
          <t xml:space="preserve">    Revolver — начало месяца</t>
        </is>
      </c>
      <c r="B21" s="43" t="inlineStr">
        <is>
          <t>млн ₽</t>
        </is>
      </c>
      <c r="C21" s="48" t="inlineStr">
        <is>
          <t>—</t>
        </is>
      </c>
      <c r="D21" s="45" t="inlineStr"/>
      <c r="E21" s="86">
        <f>0</f>
        <v/>
      </c>
      <c r="F21" s="86">
        <f>E24</f>
        <v/>
      </c>
      <c r="G21" s="86">
        <f>F24</f>
        <v/>
      </c>
      <c r="H21" s="86">
        <f>G24</f>
        <v/>
      </c>
      <c r="I21" s="86">
        <f>H24</f>
        <v/>
      </c>
      <c r="J21" s="86">
        <f>I24</f>
        <v/>
      </c>
      <c r="K21" s="86">
        <f>J24</f>
        <v/>
      </c>
      <c r="L21" s="86">
        <f>K24</f>
        <v/>
      </c>
      <c r="M21" s="86">
        <f>L24</f>
        <v/>
      </c>
      <c r="N21" s="86">
        <f>M24</f>
        <v/>
      </c>
      <c r="O21" s="86">
        <f>N24</f>
        <v/>
      </c>
      <c r="P21" s="86">
        <f>O24</f>
        <v/>
      </c>
      <c r="Q21" s="86">
        <f>P24</f>
        <v/>
      </c>
      <c r="R21" s="86">
        <f>Q24</f>
        <v/>
      </c>
      <c r="S21" s="86">
        <f>R24</f>
        <v/>
      </c>
      <c r="T21" s="86">
        <f>S24</f>
        <v/>
      </c>
      <c r="U21" s="86">
        <f>T24</f>
        <v/>
      </c>
      <c r="V21" s="86">
        <f>U24</f>
        <v/>
      </c>
      <c r="W21" s="86">
        <f>V24</f>
        <v/>
      </c>
      <c r="X21" s="86">
        <f>W24</f>
        <v/>
      </c>
      <c r="Y21" s="86">
        <f>X24</f>
        <v/>
      </c>
      <c r="Z21" s="86">
        <f>Y24</f>
        <v/>
      </c>
      <c r="AA21" s="86">
        <f>Z24</f>
        <v/>
      </c>
      <c r="AB21" s="86">
        <f>AA24</f>
        <v/>
      </c>
      <c r="AC21" s="86">
        <f>AB24</f>
        <v/>
      </c>
      <c r="AD21" s="86">
        <f>AC24</f>
        <v/>
      </c>
      <c r="AE21" s="86">
        <f>AD24</f>
        <v/>
      </c>
      <c r="AF21" s="86">
        <f>AE24</f>
        <v/>
      </c>
      <c r="AG21" s="86">
        <f>AF24</f>
        <v/>
      </c>
      <c r="AH21" s="86">
        <f>AG24</f>
        <v/>
      </c>
      <c r="AI21" s="86">
        <f>AH24</f>
        <v/>
      </c>
      <c r="AJ21" s="86">
        <f>AI24</f>
        <v/>
      </c>
      <c r="AK21" s="86">
        <f>AJ24</f>
        <v/>
      </c>
      <c r="AL21" s="86">
        <f>AK24</f>
        <v/>
      </c>
      <c r="AM21" s="86">
        <f>AL24</f>
        <v/>
      </c>
      <c r="AN21" s="86">
        <f>AM24</f>
        <v/>
      </c>
      <c r="AO21" s="86">
        <f>AN24</f>
        <v/>
      </c>
      <c r="AP21" s="86">
        <f>AO24</f>
        <v/>
      </c>
      <c r="AQ21" s="86">
        <f>AP24</f>
        <v/>
      </c>
      <c r="AR21" s="86">
        <f>AQ24</f>
        <v/>
      </c>
      <c r="AS21" s="86">
        <f>AR24</f>
        <v/>
      </c>
      <c r="AT21" s="86">
        <f>AS24</f>
        <v/>
      </c>
      <c r="AU21" s="86">
        <f>AT24</f>
        <v/>
      </c>
      <c r="AV21" s="86">
        <f>AU24</f>
        <v/>
      </c>
      <c r="AW21" s="86">
        <f>AV24</f>
        <v/>
      </c>
      <c r="AX21" s="86">
        <f>AW24</f>
        <v/>
      </c>
      <c r="AY21" s="86">
        <f>AX24</f>
        <v/>
      </c>
      <c r="AZ21" s="86">
        <f>AY24</f>
        <v/>
      </c>
      <c r="BA21" s="86">
        <f>AZ24</f>
        <v/>
      </c>
      <c r="BB21" s="86">
        <f>BA24</f>
        <v/>
      </c>
      <c r="BC21" s="86">
        <f>BB24</f>
        <v/>
      </c>
      <c r="BD21" s="86">
        <f>BC24</f>
        <v/>
      </c>
      <c r="BE21" s="86">
        <f>BD24</f>
        <v/>
      </c>
      <c r="BF21" s="86">
        <f>BE24</f>
        <v/>
      </c>
      <c r="BG21" s="86">
        <f>BF24</f>
        <v/>
      </c>
      <c r="BH21" s="86">
        <f>BG24</f>
        <v/>
      </c>
      <c r="BI21" s="86">
        <f>BH24</f>
        <v/>
      </c>
      <c r="BJ21" s="86">
        <f>BI24</f>
        <v/>
      </c>
      <c r="BK21" s="86">
        <f>BJ24</f>
        <v/>
      </c>
      <c r="BL21" s="86">
        <f>BK24</f>
        <v/>
      </c>
      <c r="BN21" s="53">
        <f>E21</f>
        <v/>
      </c>
      <c r="BO21" s="53">
        <f>Q21</f>
        <v/>
      </c>
      <c r="BP21" s="53">
        <f>AC21</f>
        <v/>
      </c>
      <c r="BQ21" s="53">
        <f>AO21</f>
        <v/>
      </c>
      <c r="BR21" s="53">
        <f>BA21</f>
        <v/>
      </c>
    </row>
    <row r="22">
      <c r="A22" s="42" t="inlineStr">
        <is>
          <t xml:space="preserve">    + Выборка (если Cash_pre &lt; Min Cash)</t>
        </is>
      </c>
      <c r="B22" s="43" t="inlineStr">
        <is>
          <t>млн ₽</t>
        </is>
      </c>
      <c r="C22" s="53">
        <f>SUM(BN22:BR22)</f>
        <v/>
      </c>
      <c r="D22" s="45" t="inlineStr"/>
      <c r="E22" s="53">
        <f>MAX(0,Input!$BN$83-E20)</f>
        <v/>
      </c>
      <c r="F22" s="53">
        <f>MAX(0,Input!$BN$83-F20)</f>
        <v/>
      </c>
      <c r="G22" s="53">
        <f>MAX(0,Input!$BN$83-G20)</f>
        <v/>
      </c>
      <c r="H22" s="53">
        <f>MAX(0,Input!$BN$83-H20)</f>
        <v/>
      </c>
      <c r="I22" s="53">
        <f>MAX(0,Input!$BN$83-I20)</f>
        <v/>
      </c>
      <c r="J22" s="53">
        <f>MAX(0,Input!$BN$83-J20)</f>
        <v/>
      </c>
      <c r="K22" s="53">
        <f>MAX(0,Input!$BN$83-K20)</f>
        <v/>
      </c>
      <c r="L22" s="53">
        <f>MAX(0,Input!$BN$83-L20)</f>
        <v/>
      </c>
      <c r="M22" s="53">
        <f>MAX(0,Input!$BN$83-M20)</f>
        <v/>
      </c>
      <c r="N22" s="53">
        <f>MAX(0,Input!$BN$83-N20)</f>
        <v/>
      </c>
      <c r="O22" s="53">
        <f>MAX(0,Input!$BN$83-O20)</f>
        <v/>
      </c>
      <c r="P22" s="53">
        <f>MAX(0,Input!$BN$83-P20)</f>
        <v/>
      </c>
      <c r="Q22" s="53">
        <f>MAX(0,Input!$BN$83-Q20)</f>
        <v/>
      </c>
      <c r="R22" s="53">
        <f>MAX(0,Input!$BN$83-R20)</f>
        <v/>
      </c>
      <c r="S22" s="53">
        <f>MAX(0,Input!$BN$83-S20)</f>
        <v/>
      </c>
      <c r="T22" s="53">
        <f>MAX(0,Input!$BN$83-T20)</f>
        <v/>
      </c>
      <c r="U22" s="53">
        <f>MAX(0,Input!$BN$83-U20)</f>
        <v/>
      </c>
      <c r="V22" s="53">
        <f>MAX(0,Input!$BN$83-V20)</f>
        <v/>
      </c>
      <c r="W22" s="53">
        <f>MAX(0,Input!$BN$83-W20)</f>
        <v/>
      </c>
      <c r="X22" s="53">
        <f>MAX(0,Input!$BN$83-X20)</f>
        <v/>
      </c>
      <c r="Y22" s="53">
        <f>MAX(0,Input!$BN$83-Y20)</f>
        <v/>
      </c>
      <c r="Z22" s="53">
        <f>MAX(0,Input!$BN$83-Z20)</f>
        <v/>
      </c>
      <c r="AA22" s="53">
        <f>MAX(0,Input!$BN$83-AA20)</f>
        <v/>
      </c>
      <c r="AB22" s="53">
        <f>MAX(0,Input!$BN$83-AB20)</f>
        <v/>
      </c>
      <c r="AC22" s="53">
        <f>MAX(0,Input!$BN$83-AC20)</f>
        <v/>
      </c>
      <c r="AD22" s="53">
        <f>MAX(0,Input!$BN$83-AD20)</f>
        <v/>
      </c>
      <c r="AE22" s="53">
        <f>MAX(0,Input!$BN$83-AE20)</f>
        <v/>
      </c>
      <c r="AF22" s="53">
        <f>MAX(0,Input!$BN$83-AF20)</f>
        <v/>
      </c>
      <c r="AG22" s="53">
        <f>MAX(0,Input!$BN$83-AG20)</f>
        <v/>
      </c>
      <c r="AH22" s="53">
        <f>MAX(0,Input!$BN$83-AH20)</f>
        <v/>
      </c>
      <c r="AI22" s="53">
        <f>MAX(0,Input!$BN$83-AI20)</f>
        <v/>
      </c>
      <c r="AJ22" s="53">
        <f>MAX(0,Input!$BN$83-AJ20)</f>
        <v/>
      </c>
      <c r="AK22" s="53">
        <f>MAX(0,Input!$BN$83-AK20)</f>
        <v/>
      </c>
      <c r="AL22" s="53">
        <f>MAX(0,Input!$BN$83-AL20)</f>
        <v/>
      </c>
      <c r="AM22" s="53">
        <f>MAX(0,Input!$BN$83-AM20)</f>
        <v/>
      </c>
      <c r="AN22" s="53">
        <f>MAX(0,Input!$BN$83-AN20)</f>
        <v/>
      </c>
      <c r="AO22" s="53">
        <f>MAX(0,Input!$BN$83-AO20)</f>
        <v/>
      </c>
      <c r="AP22" s="53">
        <f>MAX(0,Input!$BN$83-AP20)</f>
        <v/>
      </c>
      <c r="AQ22" s="53">
        <f>MAX(0,Input!$BN$83-AQ20)</f>
        <v/>
      </c>
      <c r="AR22" s="53">
        <f>MAX(0,Input!$BN$83-AR20)</f>
        <v/>
      </c>
      <c r="AS22" s="53">
        <f>MAX(0,Input!$BN$83-AS20)</f>
        <v/>
      </c>
      <c r="AT22" s="53">
        <f>MAX(0,Input!$BN$83-AT20)</f>
        <v/>
      </c>
      <c r="AU22" s="53">
        <f>MAX(0,Input!$BN$83-AU20)</f>
        <v/>
      </c>
      <c r="AV22" s="53">
        <f>MAX(0,Input!$BN$83-AV20)</f>
        <v/>
      </c>
      <c r="AW22" s="53">
        <f>MAX(0,Input!$BN$83-AW20)</f>
        <v/>
      </c>
      <c r="AX22" s="53">
        <f>MAX(0,Input!$BN$83-AX20)</f>
        <v/>
      </c>
      <c r="AY22" s="53">
        <f>MAX(0,Input!$BN$83-AY20)</f>
        <v/>
      </c>
      <c r="AZ22" s="53">
        <f>MAX(0,Input!$BN$83-AZ20)</f>
        <v/>
      </c>
      <c r="BA22" s="53">
        <f>MAX(0,Input!$BN$83-BA20)</f>
        <v/>
      </c>
      <c r="BB22" s="53">
        <f>MAX(0,Input!$BN$83-BB20)</f>
        <v/>
      </c>
      <c r="BC22" s="53">
        <f>MAX(0,Input!$BN$83-BC20)</f>
        <v/>
      </c>
      <c r="BD22" s="53">
        <f>MAX(0,Input!$BN$83-BD20)</f>
        <v/>
      </c>
      <c r="BE22" s="53">
        <f>MAX(0,Input!$BN$83-BE20)</f>
        <v/>
      </c>
      <c r="BF22" s="53">
        <f>MAX(0,Input!$BN$83-BF20)</f>
        <v/>
      </c>
      <c r="BG22" s="53">
        <f>MAX(0,Input!$BN$83-BG20)</f>
        <v/>
      </c>
      <c r="BH22" s="53">
        <f>MAX(0,Input!$BN$83-BH20)</f>
        <v/>
      </c>
      <c r="BI22" s="53">
        <f>MAX(0,Input!$BN$83-BI20)</f>
        <v/>
      </c>
      <c r="BJ22" s="53">
        <f>MAX(0,Input!$BN$83-BJ20)</f>
        <v/>
      </c>
      <c r="BK22" s="53">
        <f>MAX(0,Input!$BN$83-BK20)</f>
        <v/>
      </c>
      <c r="BL22" s="53">
        <f>MAX(0,Input!$BN$83-BL20)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>
      <c r="A23" s="42" t="inlineStr">
        <is>
          <t xml:space="preserve">    − Погашение (cash sweep при излишке)</t>
        </is>
      </c>
      <c r="B23" s="43" t="inlineStr">
        <is>
          <t>млн ₽</t>
        </is>
      </c>
      <c r="C23" s="53">
        <f>SUM(BN23:BR23)</f>
        <v/>
      </c>
      <c r="D23" s="45" t="inlineStr"/>
      <c r="E23" s="53">
        <f>MIN(MAX(0,E20-Input!$BN$83),E21)</f>
        <v/>
      </c>
      <c r="F23" s="53">
        <f>MIN(MAX(0,F20-Input!$BN$83),F21)</f>
        <v/>
      </c>
      <c r="G23" s="53">
        <f>MIN(MAX(0,G20-Input!$BN$83),G21)</f>
        <v/>
      </c>
      <c r="H23" s="53">
        <f>MIN(MAX(0,H20-Input!$BN$83),H21)</f>
        <v/>
      </c>
      <c r="I23" s="53">
        <f>MIN(MAX(0,I20-Input!$BN$83),I21)</f>
        <v/>
      </c>
      <c r="J23" s="53">
        <f>MIN(MAX(0,J20-Input!$BN$83),J21)</f>
        <v/>
      </c>
      <c r="K23" s="53">
        <f>MIN(MAX(0,K20-Input!$BN$83),K21)</f>
        <v/>
      </c>
      <c r="L23" s="53">
        <f>MIN(MAX(0,L20-Input!$BN$83),L21)</f>
        <v/>
      </c>
      <c r="M23" s="53">
        <f>MIN(MAX(0,M20-Input!$BN$83),M21)</f>
        <v/>
      </c>
      <c r="N23" s="53">
        <f>MIN(MAX(0,N20-Input!$BN$83),N21)</f>
        <v/>
      </c>
      <c r="O23" s="53">
        <f>MIN(MAX(0,O20-Input!$BN$83),O21)</f>
        <v/>
      </c>
      <c r="P23" s="53">
        <f>MIN(MAX(0,P20-Input!$BN$83),P21)</f>
        <v/>
      </c>
      <c r="Q23" s="53">
        <f>MIN(MAX(0,Q20-Input!$BN$83),Q21)</f>
        <v/>
      </c>
      <c r="R23" s="53">
        <f>MIN(MAX(0,R20-Input!$BN$83),R21)</f>
        <v/>
      </c>
      <c r="S23" s="53">
        <f>MIN(MAX(0,S20-Input!$BN$83),S21)</f>
        <v/>
      </c>
      <c r="T23" s="53">
        <f>MIN(MAX(0,T20-Input!$BN$83),T21)</f>
        <v/>
      </c>
      <c r="U23" s="53">
        <f>MIN(MAX(0,U20-Input!$BN$83),U21)</f>
        <v/>
      </c>
      <c r="V23" s="53">
        <f>MIN(MAX(0,V20-Input!$BN$83),V21)</f>
        <v/>
      </c>
      <c r="W23" s="53">
        <f>MIN(MAX(0,W20-Input!$BN$83),W21)</f>
        <v/>
      </c>
      <c r="X23" s="53">
        <f>MIN(MAX(0,X20-Input!$BN$83),X21)</f>
        <v/>
      </c>
      <c r="Y23" s="53">
        <f>MIN(MAX(0,Y20-Input!$BN$83),Y21)</f>
        <v/>
      </c>
      <c r="Z23" s="53">
        <f>MIN(MAX(0,Z20-Input!$BN$83),Z21)</f>
        <v/>
      </c>
      <c r="AA23" s="53">
        <f>MIN(MAX(0,AA20-Input!$BN$83),AA21)</f>
        <v/>
      </c>
      <c r="AB23" s="53">
        <f>MIN(MAX(0,AB20-Input!$BN$83),AB21)</f>
        <v/>
      </c>
      <c r="AC23" s="53">
        <f>MIN(MAX(0,AC20-Input!$BN$83),AC21)</f>
        <v/>
      </c>
      <c r="AD23" s="53">
        <f>MIN(MAX(0,AD20-Input!$BN$83),AD21)</f>
        <v/>
      </c>
      <c r="AE23" s="53">
        <f>MIN(MAX(0,AE20-Input!$BN$83),AE21)</f>
        <v/>
      </c>
      <c r="AF23" s="53">
        <f>MIN(MAX(0,AF20-Input!$BN$83),AF21)</f>
        <v/>
      </c>
      <c r="AG23" s="53">
        <f>MIN(MAX(0,AG20-Input!$BN$83),AG21)</f>
        <v/>
      </c>
      <c r="AH23" s="53">
        <f>MIN(MAX(0,AH20-Input!$BN$83),AH21)</f>
        <v/>
      </c>
      <c r="AI23" s="53">
        <f>MIN(MAX(0,AI20-Input!$BN$83),AI21)</f>
        <v/>
      </c>
      <c r="AJ23" s="53">
        <f>MIN(MAX(0,AJ20-Input!$BN$83),AJ21)</f>
        <v/>
      </c>
      <c r="AK23" s="53">
        <f>MIN(MAX(0,AK20-Input!$BN$83),AK21)</f>
        <v/>
      </c>
      <c r="AL23" s="53">
        <f>MIN(MAX(0,AL20-Input!$BN$83),AL21)</f>
        <v/>
      </c>
      <c r="AM23" s="53">
        <f>MIN(MAX(0,AM20-Input!$BN$83),AM21)</f>
        <v/>
      </c>
      <c r="AN23" s="53">
        <f>MIN(MAX(0,AN20-Input!$BN$83),AN21)</f>
        <v/>
      </c>
      <c r="AO23" s="53">
        <f>MIN(MAX(0,AO20-Input!$BN$83),AO21)</f>
        <v/>
      </c>
      <c r="AP23" s="53">
        <f>MIN(MAX(0,AP20-Input!$BN$83),AP21)</f>
        <v/>
      </c>
      <c r="AQ23" s="53">
        <f>MIN(MAX(0,AQ20-Input!$BN$83),AQ21)</f>
        <v/>
      </c>
      <c r="AR23" s="53">
        <f>MIN(MAX(0,AR20-Input!$BN$83),AR21)</f>
        <v/>
      </c>
      <c r="AS23" s="53">
        <f>MIN(MAX(0,AS20-Input!$BN$83),AS21)</f>
        <v/>
      </c>
      <c r="AT23" s="53">
        <f>MIN(MAX(0,AT20-Input!$BN$83),AT21)</f>
        <v/>
      </c>
      <c r="AU23" s="53">
        <f>MIN(MAX(0,AU20-Input!$BN$83),AU21)</f>
        <v/>
      </c>
      <c r="AV23" s="53">
        <f>MIN(MAX(0,AV20-Input!$BN$83),AV21)</f>
        <v/>
      </c>
      <c r="AW23" s="53">
        <f>MIN(MAX(0,AW20-Input!$BN$83),AW21)</f>
        <v/>
      </c>
      <c r="AX23" s="53">
        <f>MIN(MAX(0,AX20-Input!$BN$83),AX21)</f>
        <v/>
      </c>
      <c r="AY23" s="53">
        <f>MIN(MAX(0,AY20-Input!$BN$83),AY21)</f>
        <v/>
      </c>
      <c r="AZ23" s="53">
        <f>MIN(MAX(0,AZ20-Input!$BN$83),AZ21)</f>
        <v/>
      </c>
      <c r="BA23" s="53">
        <f>MIN(MAX(0,BA20-Input!$BN$83),BA21)</f>
        <v/>
      </c>
      <c r="BB23" s="53">
        <f>MIN(MAX(0,BB20-Input!$BN$83),BB21)</f>
        <v/>
      </c>
      <c r="BC23" s="53">
        <f>MIN(MAX(0,BC20-Input!$BN$83),BC21)</f>
        <v/>
      </c>
      <c r="BD23" s="53">
        <f>MIN(MAX(0,BD20-Input!$BN$83),BD21)</f>
        <v/>
      </c>
      <c r="BE23" s="53">
        <f>MIN(MAX(0,BE20-Input!$BN$83),BE21)</f>
        <v/>
      </c>
      <c r="BF23" s="53">
        <f>MIN(MAX(0,BF20-Input!$BN$83),BF21)</f>
        <v/>
      </c>
      <c r="BG23" s="53">
        <f>MIN(MAX(0,BG20-Input!$BN$83),BG21)</f>
        <v/>
      </c>
      <c r="BH23" s="53">
        <f>MIN(MAX(0,BH20-Input!$BN$83),BH21)</f>
        <v/>
      </c>
      <c r="BI23" s="53">
        <f>MIN(MAX(0,BI20-Input!$BN$83),BI21)</f>
        <v/>
      </c>
      <c r="BJ23" s="53">
        <f>MIN(MAX(0,BJ20-Input!$BN$83),BJ21)</f>
        <v/>
      </c>
      <c r="BK23" s="53">
        <f>MIN(MAX(0,BK20-Input!$BN$83),BK21)</f>
        <v/>
      </c>
      <c r="BL23" s="53">
        <f>MIN(MAX(0,BL20-Input!$BN$83),BL21)</f>
        <v/>
      </c>
      <c r="BN23" s="53">
        <f>SUM(E23:P23)</f>
        <v/>
      </c>
      <c r="BO23" s="53">
        <f>SUM(Q23:AB23)</f>
        <v/>
      </c>
      <c r="BP23" s="53">
        <f>SUM(AC23:AN23)</f>
        <v/>
      </c>
      <c r="BQ23" s="53">
        <f>SUM(AO23:AZ23)</f>
        <v/>
      </c>
      <c r="BR23" s="53">
        <f>SUM(BA23:BL23)</f>
        <v/>
      </c>
    </row>
    <row r="24">
      <c r="A24" s="51" t="inlineStr">
        <is>
          <t xml:space="preserve">    = Revolver — конец месяца</t>
        </is>
      </c>
      <c r="B24" s="52" t="inlineStr">
        <is>
          <t>млн ₽</t>
        </is>
      </c>
      <c r="C24" s="48" t="inlineStr">
        <is>
          <t>—</t>
        </is>
      </c>
      <c r="D24" s="45" t="inlineStr"/>
      <c r="E24" s="67">
        <f>E21+E22-E23</f>
        <v/>
      </c>
      <c r="F24" s="67">
        <f>F21+F22-F23</f>
        <v/>
      </c>
      <c r="G24" s="67">
        <f>G21+G22-G23</f>
        <v/>
      </c>
      <c r="H24" s="67">
        <f>H21+H22-H23</f>
        <v/>
      </c>
      <c r="I24" s="67">
        <f>I21+I22-I23</f>
        <v/>
      </c>
      <c r="J24" s="67">
        <f>J21+J22-J23</f>
        <v/>
      </c>
      <c r="K24" s="67">
        <f>K21+K22-K23</f>
        <v/>
      </c>
      <c r="L24" s="67">
        <f>L21+L22-L23</f>
        <v/>
      </c>
      <c r="M24" s="67">
        <f>M21+M22-M23</f>
        <v/>
      </c>
      <c r="N24" s="67">
        <f>N21+N22-N23</f>
        <v/>
      </c>
      <c r="O24" s="67">
        <f>O21+O22-O23</f>
        <v/>
      </c>
      <c r="P24" s="67">
        <f>P21+P22-P23</f>
        <v/>
      </c>
      <c r="Q24" s="67">
        <f>Q21+Q22-Q23</f>
        <v/>
      </c>
      <c r="R24" s="67">
        <f>R21+R22-R23</f>
        <v/>
      </c>
      <c r="S24" s="67">
        <f>S21+S22-S23</f>
        <v/>
      </c>
      <c r="T24" s="67">
        <f>T21+T22-T23</f>
        <v/>
      </c>
      <c r="U24" s="67">
        <f>U21+U22-U23</f>
        <v/>
      </c>
      <c r="V24" s="67">
        <f>V21+V22-V23</f>
        <v/>
      </c>
      <c r="W24" s="67">
        <f>W21+W22-W23</f>
        <v/>
      </c>
      <c r="X24" s="67">
        <f>X21+X22-X23</f>
        <v/>
      </c>
      <c r="Y24" s="67">
        <f>Y21+Y22-Y23</f>
        <v/>
      </c>
      <c r="Z24" s="67">
        <f>Z21+Z22-Z23</f>
        <v/>
      </c>
      <c r="AA24" s="67">
        <f>AA21+AA22-AA23</f>
        <v/>
      </c>
      <c r="AB24" s="67">
        <f>AB21+AB22-AB23</f>
        <v/>
      </c>
      <c r="AC24" s="67">
        <f>AC21+AC22-AC23</f>
        <v/>
      </c>
      <c r="AD24" s="67">
        <f>AD21+AD22-AD23</f>
        <v/>
      </c>
      <c r="AE24" s="67">
        <f>AE21+AE22-AE23</f>
        <v/>
      </c>
      <c r="AF24" s="67">
        <f>AF21+AF22-AF23</f>
        <v/>
      </c>
      <c r="AG24" s="67">
        <f>AG21+AG22-AG23</f>
        <v/>
      </c>
      <c r="AH24" s="67">
        <f>AH21+AH22-AH23</f>
        <v/>
      </c>
      <c r="AI24" s="67">
        <f>AI21+AI22-AI23</f>
        <v/>
      </c>
      <c r="AJ24" s="67">
        <f>AJ21+AJ22-AJ23</f>
        <v/>
      </c>
      <c r="AK24" s="67">
        <f>AK21+AK22-AK23</f>
        <v/>
      </c>
      <c r="AL24" s="67">
        <f>AL21+AL22-AL23</f>
        <v/>
      </c>
      <c r="AM24" s="67">
        <f>AM21+AM22-AM23</f>
        <v/>
      </c>
      <c r="AN24" s="67">
        <f>AN21+AN22-AN23</f>
        <v/>
      </c>
      <c r="AO24" s="67">
        <f>AO21+AO22-AO23</f>
        <v/>
      </c>
      <c r="AP24" s="67">
        <f>AP21+AP22-AP23</f>
        <v/>
      </c>
      <c r="AQ24" s="67">
        <f>AQ21+AQ22-AQ23</f>
        <v/>
      </c>
      <c r="AR24" s="67">
        <f>AR21+AR22-AR23</f>
        <v/>
      </c>
      <c r="AS24" s="67">
        <f>AS21+AS22-AS23</f>
        <v/>
      </c>
      <c r="AT24" s="67">
        <f>AT21+AT22-AT23</f>
        <v/>
      </c>
      <c r="AU24" s="67">
        <f>AU21+AU22-AU23</f>
        <v/>
      </c>
      <c r="AV24" s="67">
        <f>AV21+AV22-AV23</f>
        <v/>
      </c>
      <c r="AW24" s="67">
        <f>AW21+AW22-AW23</f>
        <v/>
      </c>
      <c r="AX24" s="67">
        <f>AX21+AX22-AX23</f>
        <v/>
      </c>
      <c r="AY24" s="67">
        <f>AY21+AY22-AY23</f>
        <v/>
      </c>
      <c r="AZ24" s="67">
        <f>AZ21+AZ22-AZ23</f>
        <v/>
      </c>
      <c r="BA24" s="67">
        <f>BA21+BA22-BA23</f>
        <v/>
      </c>
      <c r="BB24" s="67">
        <f>BB21+BB22-BB23</f>
        <v/>
      </c>
      <c r="BC24" s="67">
        <f>BC21+BC22-BC23</f>
        <v/>
      </c>
      <c r="BD24" s="67">
        <f>BD21+BD22-BD23</f>
        <v/>
      </c>
      <c r="BE24" s="67">
        <f>BE21+BE22-BE23</f>
        <v/>
      </c>
      <c r="BF24" s="67">
        <f>BF21+BF22-BF23</f>
        <v/>
      </c>
      <c r="BG24" s="67">
        <f>BG21+BG22-BG23</f>
        <v/>
      </c>
      <c r="BH24" s="67">
        <f>BH21+BH22-BH23</f>
        <v/>
      </c>
      <c r="BI24" s="67">
        <f>BI21+BI22-BI23</f>
        <v/>
      </c>
      <c r="BJ24" s="67">
        <f>BJ21+BJ22-BJ23</f>
        <v/>
      </c>
      <c r="BK24" s="67">
        <f>BK21+BK22-BK23</f>
        <v/>
      </c>
      <c r="BL24" s="67">
        <f>BL21+BL22-BL23</f>
        <v/>
      </c>
      <c r="BN24" s="53">
        <f>P24</f>
        <v/>
      </c>
      <c r="BO24" s="53">
        <f>AB24</f>
        <v/>
      </c>
      <c r="BP24" s="53">
        <f>AN24</f>
        <v/>
      </c>
      <c r="BQ24" s="53">
        <f>AZ24</f>
        <v/>
      </c>
      <c r="BR24" s="53">
        <f>BL24</f>
        <v/>
      </c>
    </row>
    <row r="25">
      <c r="A25" s="80" t="inlineStr">
        <is>
          <t xml:space="preserve">    Проценты revolver = остаток_нач × ставка/12</t>
        </is>
      </c>
      <c r="B25" s="81" t="inlineStr">
        <is>
          <t>млн ₽</t>
        </is>
      </c>
      <c r="C25" s="82">
        <f>SUM(BN25:BR25)</f>
        <v/>
      </c>
      <c r="D25" s="45" t="inlineStr"/>
      <c r="E25" s="82">
        <f>E21*Input!BN85/12</f>
        <v/>
      </c>
      <c r="F25" s="82">
        <f>F21*Input!BN85/12</f>
        <v/>
      </c>
      <c r="G25" s="82">
        <f>G21*Input!BN85/12</f>
        <v/>
      </c>
      <c r="H25" s="82">
        <f>H21*Input!BN85/12</f>
        <v/>
      </c>
      <c r="I25" s="82">
        <f>I21*Input!BN85/12</f>
        <v/>
      </c>
      <c r="J25" s="82">
        <f>J21*Input!BN85/12</f>
        <v/>
      </c>
      <c r="K25" s="82">
        <f>K21*Input!BN85/12</f>
        <v/>
      </c>
      <c r="L25" s="82">
        <f>L21*Input!BN85/12</f>
        <v/>
      </c>
      <c r="M25" s="82">
        <f>M21*Input!BN85/12</f>
        <v/>
      </c>
      <c r="N25" s="82">
        <f>N21*Input!BN85/12</f>
        <v/>
      </c>
      <c r="O25" s="82">
        <f>O21*Input!BN85/12</f>
        <v/>
      </c>
      <c r="P25" s="82">
        <f>P21*Input!BN85/12</f>
        <v/>
      </c>
      <c r="Q25" s="82">
        <f>Q21*Input!BN85/12</f>
        <v/>
      </c>
      <c r="R25" s="82">
        <f>R21*Input!BN85/12</f>
        <v/>
      </c>
      <c r="S25" s="82">
        <f>S21*Input!BN85/12</f>
        <v/>
      </c>
      <c r="T25" s="82">
        <f>T21*Input!BN85/12</f>
        <v/>
      </c>
      <c r="U25" s="82">
        <f>U21*Input!BN85/12</f>
        <v/>
      </c>
      <c r="V25" s="82">
        <f>V21*Input!BN85/12</f>
        <v/>
      </c>
      <c r="W25" s="82">
        <f>W21*Input!BN85/12</f>
        <v/>
      </c>
      <c r="X25" s="82">
        <f>X21*Input!BN85/12</f>
        <v/>
      </c>
      <c r="Y25" s="82">
        <f>Y21*Input!BN85/12</f>
        <v/>
      </c>
      <c r="Z25" s="82">
        <f>Z21*Input!BN85/12</f>
        <v/>
      </c>
      <c r="AA25" s="82">
        <f>AA21*Input!BN85/12</f>
        <v/>
      </c>
      <c r="AB25" s="82">
        <f>AB21*Input!BN85/12</f>
        <v/>
      </c>
      <c r="AC25" s="82">
        <f>AC21*Input!BN85/12</f>
        <v/>
      </c>
      <c r="AD25" s="82">
        <f>AD21*Input!BN85/12</f>
        <v/>
      </c>
      <c r="AE25" s="82">
        <f>AE21*Input!BN85/12</f>
        <v/>
      </c>
      <c r="AF25" s="82">
        <f>AF21*Input!BN85/12</f>
        <v/>
      </c>
      <c r="AG25" s="82">
        <f>AG21*Input!BN85/12</f>
        <v/>
      </c>
      <c r="AH25" s="82">
        <f>AH21*Input!BN85/12</f>
        <v/>
      </c>
      <c r="AI25" s="82">
        <f>AI21*Input!BN85/12</f>
        <v/>
      </c>
      <c r="AJ25" s="82">
        <f>AJ21*Input!BN85/12</f>
        <v/>
      </c>
      <c r="AK25" s="82">
        <f>AK21*Input!BN85/12</f>
        <v/>
      </c>
      <c r="AL25" s="82">
        <f>AL21*Input!BN85/12</f>
        <v/>
      </c>
      <c r="AM25" s="82">
        <f>AM21*Input!BN85/12</f>
        <v/>
      </c>
      <c r="AN25" s="82">
        <f>AN21*Input!BN85/12</f>
        <v/>
      </c>
      <c r="AO25" s="82">
        <f>AO21*Input!BN85/12</f>
        <v/>
      </c>
      <c r="AP25" s="82">
        <f>AP21*Input!BN85/12</f>
        <v/>
      </c>
      <c r="AQ25" s="82">
        <f>AQ21*Input!BN85/12</f>
        <v/>
      </c>
      <c r="AR25" s="82">
        <f>AR21*Input!BN85/12</f>
        <v/>
      </c>
      <c r="AS25" s="82">
        <f>AS21*Input!BN85/12</f>
        <v/>
      </c>
      <c r="AT25" s="82">
        <f>AT21*Input!BN85/12</f>
        <v/>
      </c>
      <c r="AU25" s="82">
        <f>AU21*Input!BN85/12</f>
        <v/>
      </c>
      <c r="AV25" s="82">
        <f>AV21*Input!BN85/12</f>
        <v/>
      </c>
      <c r="AW25" s="82">
        <f>AW21*Input!BN85/12</f>
        <v/>
      </c>
      <c r="AX25" s="82">
        <f>AX21*Input!BN85/12</f>
        <v/>
      </c>
      <c r="AY25" s="82">
        <f>AY21*Input!BN85/12</f>
        <v/>
      </c>
      <c r="AZ25" s="82">
        <f>AZ21*Input!BN85/12</f>
        <v/>
      </c>
      <c r="BA25" s="82">
        <f>BA21*Input!BN85/12</f>
        <v/>
      </c>
      <c r="BB25" s="82">
        <f>BB21*Input!BN85/12</f>
        <v/>
      </c>
      <c r="BC25" s="82">
        <f>BC21*Input!BN85/12</f>
        <v/>
      </c>
      <c r="BD25" s="82">
        <f>BD21*Input!BN85/12</f>
        <v/>
      </c>
      <c r="BE25" s="82">
        <f>BE21*Input!BN85/12</f>
        <v/>
      </c>
      <c r="BF25" s="82">
        <f>BF21*Input!BN85/12</f>
        <v/>
      </c>
      <c r="BG25" s="82">
        <f>BG21*Input!BN85/12</f>
        <v/>
      </c>
      <c r="BH25" s="82">
        <f>BH21*Input!BN85/12</f>
        <v/>
      </c>
      <c r="BI25" s="82">
        <f>BI21*Input!BN85/12</f>
        <v/>
      </c>
      <c r="BJ25" s="82">
        <f>BJ21*Input!BN85/12</f>
        <v/>
      </c>
      <c r="BK25" s="82">
        <f>BK21*Input!BN85/12</f>
        <v/>
      </c>
      <c r="BL25" s="82">
        <f>BL21*Input!BN85/12</f>
        <v/>
      </c>
      <c r="BN25" s="82">
        <f>SUM(E25:P25)</f>
        <v/>
      </c>
      <c r="BO25" s="82">
        <f>SUM(Q25:AB25)</f>
        <v/>
      </c>
      <c r="BP25" s="82">
        <f>SUM(AC25:AN25)</f>
        <v/>
      </c>
      <c r="BQ25" s="82">
        <f>SUM(AO25:AZ25)</f>
        <v/>
      </c>
      <c r="BR25" s="82">
        <f>SUM(BA25:BL25)</f>
        <v/>
      </c>
    </row>
    <row r="26">
      <c r="A26" s="65" t="inlineStr">
        <is>
          <t xml:space="preserve">    Пик задолженности revolver = потребность во внешнем финансировании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42" t="inlineStr"/>
      <c r="F26" s="42" t="inlineStr"/>
      <c r="G26" s="42" t="inlineStr"/>
      <c r="H26" s="42" t="inlineStr"/>
      <c r="I26" s="42" t="inlineStr"/>
      <c r="J26" s="42" t="inlineStr"/>
      <c r="K26" s="42" t="inlineStr"/>
      <c r="L26" s="42" t="inlineStr"/>
      <c r="M26" s="42" t="inlineStr"/>
      <c r="N26" s="42" t="inlineStr"/>
      <c r="O26" s="42" t="inlineStr"/>
      <c r="P26" s="42" t="inlineStr"/>
      <c r="Q26" s="42" t="inlineStr"/>
      <c r="R26" s="42" t="inlineStr"/>
      <c r="S26" s="42" t="inlineStr"/>
      <c r="T26" s="42" t="inlineStr"/>
      <c r="U26" s="42" t="inlineStr"/>
      <c r="V26" s="42" t="inlineStr"/>
      <c r="W26" s="42" t="inlineStr"/>
      <c r="X26" s="42" t="inlineStr"/>
      <c r="Y26" s="42" t="inlineStr"/>
      <c r="Z26" s="42" t="inlineStr"/>
      <c r="AA26" s="42" t="inlineStr"/>
      <c r="AB26" s="42" t="inlineStr"/>
      <c r="AC26" s="42" t="inlineStr"/>
      <c r="AD26" s="42" t="inlineStr"/>
      <c r="AE26" s="42" t="inlineStr"/>
      <c r="AF26" s="42" t="inlineStr"/>
      <c r="AG26" s="42" t="inlineStr"/>
      <c r="AH26" s="42" t="inlineStr"/>
      <c r="AI26" s="42" t="inlineStr"/>
      <c r="AJ26" s="42" t="inlineStr"/>
      <c r="AK26" s="42" t="inlineStr"/>
      <c r="AL26" s="42" t="inlineStr"/>
      <c r="AM26" s="42" t="inlineStr"/>
      <c r="AN26" s="42" t="inlineStr"/>
      <c r="AO26" s="42" t="inlineStr"/>
      <c r="AP26" s="42" t="inlineStr"/>
      <c r="AQ26" s="42" t="inlineStr"/>
      <c r="AR26" s="42" t="inlineStr"/>
      <c r="AS26" s="42" t="inlineStr"/>
      <c r="AT26" s="42" t="inlineStr"/>
      <c r="AU26" s="42" t="inlineStr"/>
      <c r="AV26" s="42" t="inlineStr"/>
      <c r="AW26" s="42" t="inlineStr"/>
      <c r="AX26" s="42" t="inlineStr"/>
      <c r="AY26" s="42" t="inlineStr"/>
      <c r="AZ26" s="42" t="inlineStr"/>
      <c r="BA26" s="42" t="inlineStr"/>
      <c r="BB26" s="42" t="inlineStr"/>
      <c r="BC26" s="42" t="inlineStr"/>
      <c r="BD26" s="42" t="inlineStr"/>
      <c r="BE26" s="42" t="inlineStr"/>
      <c r="BF26" s="42" t="inlineStr"/>
      <c r="BG26" s="42" t="inlineStr"/>
      <c r="BH26" s="42" t="inlineStr"/>
      <c r="BI26" s="42" t="inlineStr"/>
      <c r="BJ26" s="42" t="inlineStr"/>
      <c r="BK26" s="42" t="inlineStr"/>
      <c r="BL26" s="42" t="inlineStr"/>
      <c r="BN26" s="91">
        <f>MAX(0,MAX(E24:BL24))</f>
        <v/>
      </c>
      <c r="BO26" s="42" t="inlineStr"/>
      <c r="BP26" s="42" t="inlineStr"/>
      <c r="BQ26" s="42" t="inlineStr"/>
      <c r="BR26" s="42" t="inlineStr"/>
    </row>
  </sheetData>
  <mergeCells count="6">
    <mergeCell ref="A2:BR2"/>
    <mergeCell ref="A19:BR19"/>
    <mergeCell ref="A5:BR5"/>
    <mergeCell ref="A1:BR1"/>
    <mergeCell ref="A9:BR9"/>
    <mergeCell ref="A15:BR1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0"/>
    <pageSetUpPr/>
  </sheetPr>
  <dimension ref="A1:BR33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НАЛОГИ (помесячно) | Режим ОСНО</t>
        </is>
      </c>
    </row>
    <row r="2" ht="18" customHeight="1">
      <c r="A2" s="38" t="inlineStr">
        <is>
          <t xml:space="preserve">  🟡 ставки — Input | ⚫ начисление помесячно, уплата квартально (М4/М7/М10/М13…) | 🔴 NI → Баланс, остаток → Налоги к уплате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EBIT (импорт из CAPEX &amp; D&amp;A)</t>
        </is>
      </c>
    </row>
    <row r="6">
      <c r="A6" s="51" t="inlineStr">
        <is>
          <t>EBIT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'CAPEX &amp; D&amp;A'!E30</f>
        <v/>
      </c>
      <c r="F6" s="84">
        <f>'CAPEX &amp; D&amp;A'!F30</f>
        <v/>
      </c>
      <c r="G6" s="84">
        <f>'CAPEX &amp; D&amp;A'!G30</f>
        <v/>
      </c>
      <c r="H6" s="84">
        <f>'CAPEX &amp; D&amp;A'!H30</f>
        <v/>
      </c>
      <c r="I6" s="84">
        <f>'CAPEX &amp; D&amp;A'!I30</f>
        <v/>
      </c>
      <c r="J6" s="84">
        <f>'CAPEX &amp; D&amp;A'!J30</f>
        <v/>
      </c>
      <c r="K6" s="84">
        <f>'CAPEX &amp; D&amp;A'!K30</f>
        <v/>
      </c>
      <c r="L6" s="84">
        <f>'CAPEX &amp; D&amp;A'!L30</f>
        <v/>
      </c>
      <c r="M6" s="84">
        <f>'CAPEX &amp; D&amp;A'!M30</f>
        <v/>
      </c>
      <c r="N6" s="84">
        <f>'CAPEX &amp; D&amp;A'!N30</f>
        <v/>
      </c>
      <c r="O6" s="84">
        <f>'CAPEX &amp; D&amp;A'!O30</f>
        <v/>
      </c>
      <c r="P6" s="84">
        <f>'CAPEX &amp; D&amp;A'!P30</f>
        <v/>
      </c>
      <c r="Q6" s="84">
        <f>'CAPEX &amp; D&amp;A'!Q30</f>
        <v/>
      </c>
      <c r="R6" s="84">
        <f>'CAPEX &amp; D&amp;A'!R30</f>
        <v/>
      </c>
      <c r="S6" s="84">
        <f>'CAPEX &amp; D&amp;A'!S30</f>
        <v/>
      </c>
      <c r="T6" s="84">
        <f>'CAPEX &amp; D&amp;A'!T30</f>
        <v/>
      </c>
      <c r="U6" s="84">
        <f>'CAPEX &amp; D&amp;A'!U30</f>
        <v/>
      </c>
      <c r="V6" s="84">
        <f>'CAPEX &amp; D&amp;A'!V30</f>
        <v/>
      </c>
      <c r="W6" s="84">
        <f>'CAPEX &amp; D&amp;A'!W30</f>
        <v/>
      </c>
      <c r="X6" s="84">
        <f>'CAPEX &amp; D&amp;A'!X30</f>
        <v/>
      </c>
      <c r="Y6" s="84">
        <f>'CAPEX &amp; D&amp;A'!Y30</f>
        <v/>
      </c>
      <c r="Z6" s="84">
        <f>'CAPEX &amp; D&amp;A'!Z30</f>
        <v/>
      </c>
      <c r="AA6" s="84">
        <f>'CAPEX &amp; D&amp;A'!AA30</f>
        <v/>
      </c>
      <c r="AB6" s="84">
        <f>'CAPEX &amp; D&amp;A'!AB30</f>
        <v/>
      </c>
      <c r="AC6" s="84">
        <f>'CAPEX &amp; D&amp;A'!AC30</f>
        <v/>
      </c>
      <c r="AD6" s="84">
        <f>'CAPEX &amp; D&amp;A'!AD30</f>
        <v/>
      </c>
      <c r="AE6" s="84">
        <f>'CAPEX &amp; D&amp;A'!AE30</f>
        <v/>
      </c>
      <c r="AF6" s="84">
        <f>'CAPEX &amp; D&amp;A'!AF30</f>
        <v/>
      </c>
      <c r="AG6" s="84">
        <f>'CAPEX &amp; D&amp;A'!AG30</f>
        <v/>
      </c>
      <c r="AH6" s="84">
        <f>'CAPEX &amp; D&amp;A'!AH30</f>
        <v/>
      </c>
      <c r="AI6" s="84">
        <f>'CAPEX &amp; D&amp;A'!AI30</f>
        <v/>
      </c>
      <c r="AJ6" s="84">
        <f>'CAPEX &amp; D&amp;A'!AJ30</f>
        <v/>
      </c>
      <c r="AK6" s="84">
        <f>'CAPEX &amp; D&amp;A'!AK30</f>
        <v/>
      </c>
      <c r="AL6" s="84">
        <f>'CAPEX &amp; D&amp;A'!AL30</f>
        <v/>
      </c>
      <c r="AM6" s="84">
        <f>'CAPEX &amp; D&amp;A'!AM30</f>
        <v/>
      </c>
      <c r="AN6" s="84">
        <f>'CAPEX &amp; D&amp;A'!AN30</f>
        <v/>
      </c>
      <c r="AO6" s="84">
        <f>'CAPEX &amp; D&amp;A'!AO30</f>
        <v/>
      </c>
      <c r="AP6" s="84">
        <f>'CAPEX &amp; D&amp;A'!AP30</f>
        <v/>
      </c>
      <c r="AQ6" s="84">
        <f>'CAPEX &amp; D&amp;A'!AQ30</f>
        <v/>
      </c>
      <c r="AR6" s="84">
        <f>'CAPEX &amp; D&amp;A'!AR30</f>
        <v/>
      </c>
      <c r="AS6" s="84">
        <f>'CAPEX &amp; D&amp;A'!AS30</f>
        <v/>
      </c>
      <c r="AT6" s="84">
        <f>'CAPEX &amp; D&amp;A'!AT30</f>
        <v/>
      </c>
      <c r="AU6" s="84">
        <f>'CAPEX &amp; D&amp;A'!AU30</f>
        <v/>
      </c>
      <c r="AV6" s="84">
        <f>'CAPEX &amp; D&amp;A'!AV30</f>
        <v/>
      </c>
      <c r="AW6" s="84">
        <f>'CAPEX &amp; D&amp;A'!AW30</f>
        <v/>
      </c>
      <c r="AX6" s="84">
        <f>'CAPEX &amp; D&amp;A'!AX30</f>
        <v/>
      </c>
      <c r="AY6" s="84">
        <f>'CAPEX &amp; D&amp;A'!AY30</f>
        <v/>
      </c>
      <c r="AZ6" s="84">
        <f>'CAPEX &amp; D&amp;A'!AZ30</f>
        <v/>
      </c>
      <c r="BA6" s="84">
        <f>'CAPEX &amp; D&amp;A'!BA30</f>
        <v/>
      </c>
      <c r="BB6" s="84">
        <f>'CAPEX &amp; D&amp;A'!BB30</f>
        <v/>
      </c>
      <c r="BC6" s="84">
        <f>'CAPEX &amp; D&amp;A'!BC30</f>
        <v/>
      </c>
      <c r="BD6" s="84">
        <f>'CAPEX &amp; D&amp;A'!BD30</f>
        <v/>
      </c>
      <c r="BE6" s="84">
        <f>'CAPEX &amp; D&amp;A'!BE30</f>
        <v/>
      </c>
      <c r="BF6" s="84">
        <f>'CAPEX &amp; D&amp;A'!BF30</f>
        <v/>
      </c>
      <c r="BG6" s="84">
        <f>'CAPEX &amp; D&amp;A'!BG30</f>
        <v/>
      </c>
      <c r="BH6" s="84">
        <f>'CAPEX &amp; D&amp;A'!BH30</f>
        <v/>
      </c>
      <c r="BI6" s="84">
        <f>'CAPEX &amp; D&amp;A'!BI30</f>
        <v/>
      </c>
      <c r="BJ6" s="84">
        <f>'CAPEX &amp; D&amp;A'!BJ30</f>
        <v/>
      </c>
      <c r="BK6" s="84">
        <f>'CAPEX &amp; D&amp;A'!BK30</f>
        <v/>
      </c>
      <c r="BL6" s="84">
        <f>'CAPEX &amp; D&amp;A'!BL30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/>
    <row r="8" ht="22" customHeight="1">
      <c r="A8" s="62" t="inlineStr">
        <is>
          <t xml:space="preserve">  НАЛОГ НА ПРИБЫЛЬ (начисление помесячно)</t>
        </is>
      </c>
    </row>
    <row r="9">
      <c r="A9" s="42" t="inlineStr">
        <is>
          <t xml:space="preserve">    − Проценты по долгу (из листа Долг)</t>
        </is>
      </c>
      <c r="B9" s="43" t="inlineStr">
        <is>
          <t>млн ₽</t>
        </is>
      </c>
      <c r="C9" s="53">
        <f>SUM(BN9:BR9)</f>
        <v/>
      </c>
      <c r="D9" s="45" t="inlineStr"/>
      <c r="E9" s="85">
        <f>'Долговое финансирование'!E13</f>
        <v/>
      </c>
      <c r="F9" s="85">
        <f>'Долговое финансирование'!F13</f>
        <v/>
      </c>
      <c r="G9" s="85">
        <f>'Долговое финансирование'!G13</f>
        <v/>
      </c>
      <c r="H9" s="85">
        <f>'Долговое финансирование'!H13</f>
        <v/>
      </c>
      <c r="I9" s="85">
        <f>'Долговое финансирование'!I13</f>
        <v/>
      </c>
      <c r="J9" s="85">
        <f>'Долговое финансирование'!J13</f>
        <v/>
      </c>
      <c r="K9" s="85">
        <f>'Долговое финансирование'!K13</f>
        <v/>
      </c>
      <c r="L9" s="85">
        <f>'Долговое финансирование'!L13</f>
        <v/>
      </c>
      <c r="M9" s="85">
        <f>'Долговое финансирование'!M13</f>
        <v/>
      </c>
      <c r="N9" s="85">
        <f>'Долговое финансирование'!N13</f>
        <v/>
      </c>
      <c r="O9" s="85">
        <f>'Долговое финансирование'!O13</f>
        <v/>
      </c>
      <c r="P9" s="85">
        <f>'Долговое финансирование'!P13</f>
        <v/>
      </c>
      <c r="Q9" s="85">
        <f>'Долговое финансирование'!Q13</f>
        <v/>
      </c>
      <c r="R9" s="85">
        <f>'Долговое финансирование'!R13</f>
        <v/>
      </c>
      <c r="S9" s="85">
        <f>'Долговое финансирование'!S13</f>
        <v/>
      </c>
      <c r="T9" s="85">
        <f>'Долговое финансирование'!T13</f>
        <v/>
      </c>
      <c r="U9" s="85">
        <f>'Долговое финансирование'!U13</f>
        <v/>
      </c>
      <c r="V9" s="85">
        <f>'Долговое финансирование'!V13</f>
        <v/>
      </c>
      <c r="W9" s="85">
        <f>'Долговое финансирование'!W13</f>
        <v/>
      </c>
      <c r="X9" s="85">
        <f>'Долговое финансирование'!X13</f>
        <v/>
      </c>
      <c r="Y9" s="85">
        <f>'Долговое финансирование'!Y13</f>
        <v/>
      </c>
      <c r="Z9" s="85">
        <f>'Долговое финансирование'!Z13</f>
        <v/>
      </c>
      <c r="AA9" s="85">
        <f>'Долговое финансирование'!AA13</f>
        <v/>
      </c>
      <c r="AB9" s="85">
        <f>'Долговое финансирование'!AB13</f>
        <v/>
      </c>
      <c r="AC9" s="85">
        <f>'Долговое финансирование'!AC13</f>
        <v/>
      </c>
      <c r="AD9" s="85">
        <f>'Долговое финансирование'!AD13</f>
        <v/>
      </c>
      <c r="AE9" s="85">
        <f>'Долговое финансирование'!AE13</f>
        <v/>
      </c>
      <c r="AF9" s="85">
        <f>'Долговое финансирование'!AF13</f>
        <v/>
      </c>
      <c r="AG9" s="85">
        <f>'Долговое финансирование'!AG13</f>
        <v/>
      </c>
      <c r="AH9" s="85">
        <f>'Долговое финансирование'!AH13</f>
        <v/>
      </c>
      <c r="AI9" s="85">
        <f>'Долговое финансирование'!AI13</f>
        <v/>
      </c>
      <c r="AJ9" s="85">
        <f>'Долговое финансирование'!AJ13</f>
        <v/>
      </c>
      <c r="AK9" s="85">
        <f>'Долговое финансирование'!AK13</f>
        <v/>
      </c>
      <c r="AL9" s="85">
        <f>'Долговое финансирование'!AL13</f>
        <v/>
      </c>
      <c r="AM9" s="85">
        <f>'Долговое финансирование'!AM13</f>
        <v/>
      </c>
      <c r="AN9" s="85">
        <f>'Долговое финансирование'!AN13</f>
        <v/>
      </c>
      <c r="AO9" s="85">
        <f>'Долговое финансирование'!AO13</f>
        <v/>
      </c>
      <c r="AP9" s="85">
        <f>'Долговое финансирование'!AP13</f>
        <v/>
      </c>
      <c r="AQ9" s="85">
        <f>'Долговое финансирование'!AQ13</f>
        <v/>
      </c>
      <c r="AR9" s="85">
        <f>'Долговое финансирование'!AR13</f>
        <v/>
      </c>
      <c r="AS9" s="85">
        <f>'Долговое финансирование'!AS13</f>
        <v/>
      </c>
      <c r="AT9" s="85">
        <f>'Долговое финансирование'!AT13</f>
        <v/>
      </c>
      <c r="AU9" s="85">
        <f>'Долговое финансирование'!AU13</f>
        <v/>
      </c>
      <c r="AV9" s="85">
        <f>'Долговое финансирование'!AV13</f>
        <v/>
      </c>
      <c r="AW9" s="85">
        <f>'Долговое финансирование'!AW13</f>
        <v/>
      </c>
      <c r="AX9" s="85">
        <f>'Долговое финансирование'!AX13</f>
        <v/>
      </c>
      <c r="AY9" s="85">
        <f>'Долговое финансирование'!AY13</f>
        <v/>
      </c>
      <c r="AZ9" s="85">
        <f>'Долговое финансирование'!AZ13</f>
        <v/>
      </c>
      <c r="BA9" s="85">
        <f>'Долговое финансирование'!BA13</f>
        <v/>
      </c>
      <c r="BB9" s="85">
        <f>'Долговое финансирование'!BB13</f>
        <v/>
      </c>
      <c r="BC9" s="85">
        <f>'Долговое финансирование'!BC13</f>
        <v/>
      </c>
      <c r="BD9" s="85">
        <f>'Долговое финансирование'!BD13</f>
        <v/>
      </c>
      <c r="BE9" s="85">
        <f>'Долговое финансирование'!BE13</f>
        <v/>
      </c>
      <c r="BF9" s="85">
        <f>'Долговое финансирование'!BF13</f>
        <v/>
      </c>
      <c r="BG9" s="85">
        <f>'Долговое финансирование'!BG13</f>
        <v/>
      </c>
      <c r="BH9" s="85">
        <f>'Долговое финансирование'!BH13</f>
        <v/>
      </c>
      <c r="BI9" s="85">
        <f>'Долговое финансирование'!BI13</f>
        <v/>
      </c>
      <c r="BJ9" s="85">
        <f>'Долговое финансирование'!BJ13</f>
        <v/>
      </c>
      <c r="BK9" s="85">
        <f>'Долговое финансирование'!BK13</f>
        <v/>
      </c>
      <c r="BL9" s="85">
        <f>'Долговое финансирование'!BL13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− Проценты revolver (из листа Долг)</t>
        </is>
      </c>
      <c r="B10" s="43" t="inlineStr">
        <is>
          <t>млн ₽</t>
        </is>
      </c>
      <c r="C10" s="53">
        <f>SUM(BN10:BR10)</f>
        <v/>
      </c>
      <c r="D10" s="45" t="inlineStr"/>
      <c r="E10" s="85">
        <f>'Долговое финансирование'!E25</f>
        <v/>
      </c>
      <c r="F10" s="85">
        <f>'Долговое финансирование'!F25</f>
        <v/>
      </c>
      <c r="G10" s="85">
        <f>'Долговое финансирование'!G25</f>
        <v/>
      </c>
      <c r="H10" s="85">
        <f>'Долговое финансирование'!H25</f>
        <v/>
      </c>
      <c r="I10" s="85">
        <f>'Долговое финансирование'!I25</f>
        <v/>
      </c>
      <c r="J10" s="85">
        <f>'Долговое финансирование'!J25</f>
        <v/>
      </c>
      <c r="K10" s="85">
        <f>'Долговое финансирование'!K25</f>
        <v/>
      </c>
      <c r="L10" s="85">
        <f>'Долговое финансирование'!L25</f>
        <v/>
      </c>
      <c r="M10" s="85">
        <f>'Долговое финансирование'!M25</f>
        <v/>
      </c>
      <c r="N10" s="85">
        <f>'Долговое финансирование'!N25</f>
        <v/>
      </c>
      <c r="O10" s="85">
        <f>'Долговое финансирование'!O25</f>
        <v/>
      </c>
      <c r="P10" s="85">
        <f>'Долговое финансирование'!P25</f>
        <v/>
      </c>
      <c r="Q10" s="85">
        <f>'Долговое финансирование'!Q25</f>
        <v/>
      </c>
      <c r="R10" s="85">
        <f>'Долговое финансирование'!R25</f>
        <v/>
      </c>
      <c r="S10" s="85">
        <f>'Долговое финансирование'!S25</f>
        <v/>
      </c>
      <c r="T10" s="85">
        <f>'Долговое финансирование'!T25</f>
        <v/>
      </c>
      <c r="U10" s="85">
        <f>'Долговое финансирование'!U25</f>
        <v/>
      </c>
      <c r="V10" s="85">
        <f>'Долговое финансирование'!V25</f>
        <v/>
      </c>
      <c r="W10" s="85">
        <f>'Долговое финансирование'!W25</f>
        <v/>
      </c>
      <c r="X10" s="85">
        <f>'Долговое финансирование'!X25</f>
        <v/>
      </c>
      <c r="Y10" s="85">
        <f>'Долговое финансирование'!Y25</f>
        <v/>
      </c>
      <c r="Z10" s="85">
        <f>'Долговое финансирование'!Z25</f>
        <v/>
      </c>
      <c r="AA10" s="85">
        <f>'Долговое финансирование'!AA25</f>
        <v/>
      </c>
      <c r="AB10" s="85">
        <f>'Долговое финансирование'!AB25</f>
        <v/>
      </c>
      <c r="AC10" s="85">
        <f>'Долговое финансирование'!AC25</f>
        <v/>
      </c>
      <c r="AD10" s="85">
        <f>'Долговое финансирование'!AD25</f>
        <v/>
      </c>
      <c r="AE10" s="85">
        <f>'Долговое финансирование'!AE25</f>
        <v/>
      </c>
      <c r="AF10" s="85">
        <f>'Долговое финансирование'!AF25</f>
        <v/>
      </c>
      <c r="AG10" s="85">
        <f>'Долговое финансирование'!AG25</f>
        <v/>
      </c>
      <c r="AH10" s="85">
        <f>'Долговое финансирование'!AH25</f>
        <v/>
      </c>
      <c r="AI10" s="85">
        <f>'Долговое финансирование'!AI25</f>
        <v/>
      </c>
      <c r="AJ10" s="85">
        <f>'Долговое финансирование'!AJ25</f>
        <v/>
      </c>
      <c r="AK10" s="85">
        <f>'Долговое финансирование'!AK25</f>
        <v/>
      </c>
      <c r="AL10" s="85">
        <f>'Долговое финансирование'!AL25</f>
        <v/>
      </c>
      <c r="AM10" s="85">
        <f>'Долговое финансирование'!AM25</f>
        <v/>
      </c>
      <c r="AN10" s="85">
        <f>'Долговое финансирование'!AN25</f>
        <v/>
      </c>
      <c r="AO10" s="85">
        <f>'Долговое финансирование'!AO25</f>
        <v/>
      </c>
      <c r="AP10" s="85">
        <f>'Долговое финансирование'!AP25</f>
        <v/>
      </c>
      <c r="AQ10" s="85">
        <f>'Долговое финансирование'!AQ25</f>
        <v/>
      </c>
      <c r="AR10" s="85">
        <f>'Долговое финансирование'!AR25</f>
        <v/>
      </c>
      <c r="AS10" s="85">
        <f>'Долговое финансирование'!AS25</f>
        <v/>
      </c>
      <c r="AT10" s="85">
        <f>'Долговое финансирование'!AT25</f>
        <v/>
      </c>
      <c r="AU10" s="85">
        <f>'Долговое финансирование'!AU25</f>
        <v/>
      </c>
      <c r="AV10" s="85">
        <f>'Долговое финансирование'!AV25</f>
        <v/>
      </c>
      <c r="AW10" s="85">
        <f>'Долговое финансирование'!AW25</f>
        <v/>
      </c>
      <c r="AX10" s="85">
        <f>'Долговое финансирование'!AX25</f>
        <v/>
      </c>
      <c r="AY10" s="85">
        <f>'Долговое финансирование'!AY25</f>
        <v/>
      </c>
      <c r="AZ10" s="85">
        <f>'Долговое финансирование'!AZ25</f>
        <v/>
      </c>
      <c r="BA10" s="85">
        <f>'Долговое финансирование'!BA25</f>
        <v/>
      </c>
      <c r="BB10" s="85">
        <f>'Долговое финансирование'!BB25</f>
        <v/>
      </c>
      <c r="BC10" s="85">
        <f>'Долговое финансирование'!BC25</f>
        <v/>
      </c>
      <c r="BD10" s="85">
        <f>'Долговое финансирование'!BD25</f>
        <v/>
      </c>
      <c r="BE10" s="85">
        <f>'Долговое финансирование'!BE25</f>
        <v/>
      </c>
      <c r="BF10" s="85">
        <f>'Долговое финансирование'!BF25</f>
        <v/>
      </c>
      <c r="BG10" s="85">
        <f>'Долговое финансирование'!BG25</f>
        <v/>
      </c>
      <c r="BH10" s="85">
        <f>'Долговое финансирование'!BH25</f>
        <v/>
      </c>
      <c r="BI10" s="85">
        <f>'Долговое финансирование'!BI25</f>
        <v/>
      </c>
      <c r="BJ10" s="85">
        <f>'Долговое финансирование'!BJ25</f>
        <v/>
      </c>
      <c r="BK10" s="85">
        <f>'Долговое финансирование'!BK25</f>
        <v/>
      </c>
      <c r="BL10" s="85">
        <f>'Долговое финансирование'!BL25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51" t="inlineStr">
        <is>
          <t xml:space="preserve">    = EBT (прибыль до налога)</t>
        </is>
      </c>
      <c r="B11" s="52" t="inlineStr">
        <is>
          <t>млн ₽</t>
        </is>
      </c>
      <c r="C11" s="53">
        <f>SUM(BN11:BR11)</f>
        <v/>
      </c>
      <c r="D11" s="45" t="inlineStr"/>
      <c r="E11" s="67">
        <f>E6-E9-E10</f>
        <v/>
      </c>
      <c r="F11" s="67">
        <f>F6-F9-F10</f>
        <v/>
      </c>
      <c r="G11" s="67">
        <f>G6-G9-G10</f>
        <v/>
      </c>
      <c r="H11" s="67">
        <f>H6-H9-H10</f>
        <v/>
      </c>
      <c r="I11" s="67">
        <f>I6-I9-I10</f>
        <v/>
      </c>
      <c r="J11" s="67">
        <f>J6-J9-J10</f>
        <v/>
      </c>
      <c r="K11" s="67">
        <f>K6-K9-K10</f>
        <v/>
      </c>
      <c r="L11" s="67">
        <f>L6-L9-L10</f>
        <v/>
      </c>
      <c r="M11" s="67">
        <f>M6-M9-M10</f>
        <v/>
      </c>
      <c r="N11" s="67">
        <f>N6-N9-N10</f>
        <v/>
      </c>
      <c r="O11" s="67">
        <f>O6-O9-O10</f>
        <v/>
      </c>
      <c r="P11" s="67">
        <f>P6-P9-P10</f>
        <v/>
      </c>
      <c r="Q11" s="67">
        <f>Q6-Q9-Q10</f>
        <v/>
      </c>
      <c r="R11" s="67">
        <f>R6-R9-R10</f>
        <v/>
      </c>
      <c r="S11" s="67">
        <f>S6-S9-S10</f>
        <v/>
      </c>
      <c r="T11" s="67">
        <f>T6-T9-T10</f>
        <v/>
      </c>
      <c r="U11" s="67">
        <f>U6-U9-U10</f>
        <v/>
      </c>
      <c r="V11" s="67">
        <f>V6-V9-V10</f>
        <v/>
      </c>
      <c r="W11" s="67">
        <f>W6-W9-W10</f>
        <v/>
      </c>
      <c r="X11" s="67">
        <f>X6-X9-X10</f>
        <v/>
      </c>
      <c r="Y11" s="67">
        <f>Y6-Y9-Y10</f>
        <v/>
      </c>
      <c r="Z11" s="67">
        <f>Z6-Z9-Z10</f>
        <v/>
      </c>
      <c r="AA11" s="67">
        <f>AA6-AA9-AA10</f>
        <v/>
      </c>
      <c r="AB11" s="67">
        <f>AB6-AB9-AB10</f>
        <v/>
      </c>
      <c r="AC11" s="67">
        <f>AC6-AC9-AC10</f>
        <v/>
      </c>
      <c r="AD11" s="67">
        <f>AD6-AD9-AD10</f>
        <v/>
      </c>
      <c r="AE11" s="67">
        <f>AE6-AE9-AE10</f>
        <v/>
      </c>
      <c r="AF11" s="67">
        <f>AF6-AF9-AF10</f>
        <v/>
      </c>
      <c r="AG11" s="67">
        <f>AG6-AG9-AG10</f>
        <v/>
      </c>
      <c r="AH11" s="67">
        <f>AH6-AH9-AH10</f>
        <v/>
      </c>
      <c r="AI11" s="67">
        <f>AI6-AI9-AI10</f>
        <v/>
      </c>
      <c r="AJ11" s="67">
        <f>AJ6-AJ9-AJ10</f>
        <v/>
      </c>
      <c r="AK11" s="67">
        <f>AK6-AK9-AK10</f>
        <v/>
      </c>
      <c r="AL11" s="67">
        <f>AL6-AL9-AL10</f>
        <v/>
      </c>
      <c r="AM11" s="67">
        <f>AM6-AM9-AM10</f>
        <v/>
      </c>
      <c r="AN11" s="67">
        <f>AN6-AN9-AN10</f>
        <v/>
      </c>
      <c r="AO11" s="67">
        <f>AO6-AO9-AO10</f>
        <v/>
      </c>
      <c r="AP11" s="67">
        <f>AP6-AP9-AP10</f>
        <v/>
      </c>
      <c r="AQ11" s="67">
        <f>AQ6-AQ9-AQ10</f>
        <v/>
      </c>
      <c r="AR11" s="67">
        <f>AR6-AR9-AR10</f>
        <v/>
      </c>
      <c r="AS11" s="67">
        <f>AS6-AS9-AS10</f>
        <v/>
      </c>
      <c r="AT11" s="67">
        <f>AT6-AT9-AT10</f>
        <v/>
      </c>
      <c r="AU11" s="67">
        <f>AU6-AU9-AU10</f>
        <v/>
      </c>
      <c r="AV11" s="67">
        <f>AV6-AV9-AV10</f>
        <v/>
      </c>
      <c r="AW11" s="67">
        <f>AW6-AW9-AW10</f>
        <v/>
      </c>
      <c r="AX11" s="67">
        <f>AX6-AX9-AX10</f>
        <v/>
      </c>
      <c r="AY11" s="67">
        <f>AY6-AY9-AY10</f>
        <v/>
      </c>
      <c r="AZ11" s="67">
        <f>AZ6-AZ9-AZ10</f>
        <v/>
      </c>
      <c r="BA11" s="67">
        <f>BA6-BA9-BA10</f>
        <v/>
      </c>
      <c r="BB11" s="67">
        <f>BB6-BB9-BB10</f>
        <v/>
      </c>
      <c r="BC11" s="67">
        <f>BC6-BC9-BC10</f>
        <v/>
      </c>
      <c r="BD11" s="67">
        <f>BD6-BD9-BD10</f>
        <v/>
      </c>
      <c r="BE11" s="67">
        <f>BE6-BE9-BE10</f>
        <v/>
      </c>
      <c r="BF11" s="67">
        <f>BF6-BF9-BF10</f>
        <v/>
      </c>
      <c r="BG11" s="67">
        <f>BG6-BG9-BG10</f>
        <v/>
      </c>
      <c r="BH11" s="67">
        <f>BH6-BH9-BH10</f>
        <v/>
      </c>
      <c r="BI11" s="67">
        <f>BI6-BI9-BI10</f>
        <v/>
      </c>
      <c r="BJ11" s="67">
        <f>BJ6-BJ9-BJ10</f>
        <v/>
      </c>
      <c r="BK11" s="67">
        <f>BK6-BK9-BK10</f>
        <v/>
      </c>
      <c r="BL11" s="67">
        <f>BL6-BL9-BL10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NOL — накопленный убыток, начало месяца</t>
        </is>
      </c>
      <c r="B12" s="43" t="inlineStr">
        <is>
          <t>млн ₽</t>
        </is>
      </c>
      <c r="C12" s="48" t="inlineStr">
        <is>
          <t>—</t>
        </is>
      </c>
      <c r="D12" s="45" t="inlineStr"/>
      <c r="E12" s="79">
        <f>0</f>
        <v/>
      </c>
      <c r="F12" s="79">
        <f>E14</f>
        <v/>
      </c>
      <c r="G12" s="79">
        <f>F14</f>
        <v/>
      </c>
      <c r="H12" s="79">
        <f>G14</f>
        <v/>
      </c>
      <c r="I12" s="79">
        <f>H14</f>
        <v/>
      </c>
      <c r="J12" s="79">
        <f>I14</f>
        <v/>
      </c>
      <c r="K12" s="79">
        <f>J14</f>
        <v/>
      </c>
      <c r="L12" s="79">
        <f>K14</f>
        <v/>
      </c>
      <c r="M12" s="79">
        <f>L14</f>
        <v/>
      </c>
      <c r="N12" s="79">
        <f>M14</f>
        <v/>
      </c>
      <c r="O12" s="79">
        <f>N14</f>
        <v/>
      </c>
      <c r="P12" s="79">
        <f>O14</f>
        <v/>
      </c>
      <c r="Q12" s="79">
        <f>P14</f>
        <v/>
      </c>
      <c r="R12" s="79">
        <f>Q14</f>
        <v/>
      </c>
      <c r="S12" s="79">
        <f>R14</f>
        <v/>
      </c>
      <c r="T12" s="79">
        <f>S14</f>
        <v/>
      </c>
      <c r="U12" s="79">
        <f>T14</f>
        <v/>
      </c>
      <c r="V12" s="79">
        <f>U14</f>
        <v/>
      </c>
      <c r="W12" s="79">
        <f>V14</f>
        <v/>
      </c>
      <c r="X12" s="79">
        <f>W14</f>
        <v/>
      </c>
      <c r="Y12" s="79">
        <f>X14</f>
        <v/>
      </c>
      <c r="Z12" s="79">
        <f>Y14</f>
        <v/>
      </c>
      <c r="AA12" s="79">
        <f>Z14</f>
        <v/>
      </c>
      <c r="AB12" s="79">
        <f>AA14</f>
        <v/>
      </c>
      <c r="AC12" s="79">
        <f>AB14</f>
        <v/>
      </c>
      <c r="AD12" s="79">
        <f>AC14</f>
        <v/>
      </c>
      <c r="AE12" s="79">
        <f>AD14</f>
        <v/>
      </c>
      <c r="AF12" s="79">
        <f>AE14</f>
        <v/>
      </c>
      <c r="AG12" s="79">
        <f>AF14</f>
        <v/>
      </c>
      <c r="AH12" s="79">
        <f>AG14</f>
        <v/>
      </c>
      <c r="AI12" s="79">
        <f>AH14</f>
        <v/>
      </c>
      <c r="AJ12" s="79">
        <f>AI14</f>
        <v/>
      </c>
      <c r="AK12" s="79">
        <f>AJ14</f>
        <v/>
      </c>
      <c r="AL12" s="79">
        <f>AK14</f>
        <v/>
      </c>
      <c r="AM12" s="79">
        <f>AL14</f>
        <v/>
      </c>
      <c r="AN12" s="79">
        <f>AM14</f>
        <v/>
      </c>
      <c r="AO12" s="79">
        <f>AN14</f>
        <v/>
      </c>
      <c r="AP12" s="79">
        <f>AO14</f>
        <v/>
      </c>
      <c r="AQ12" s="79">
        <f>AP14</f>
        <v/>
      </c>
      <c r="AR12" s="79">
        <f>AQ14</f>
        <v/>
      </c>
      <c r="AS12" s="79">
        <f>AR14</f>
        <v/>
      </c>
      <c r="AT12" s="79">
        <f>AS14</f>
        <v/>
      </c>
      <c r="AU12" s="79">
        <f>AT14</f>
        <v/>
      </c>
      <c r="AV12" s="79">
        <f>AU14</f>
        <v/>
      </c>
      <c r="AW12" s="79">
        <f>AV14</f>
        <v/>
      </c>
      <c r="AX12" s="79">
        <f>AW14</f>
        <v/>
      </c>
      <c r="AY12" s="79">
        <f>AX14</f>
        <v/>
      </c>
      <c r="AZ12" s="79">
        <f>AY14</f>
        <v/>
      </c>
      <c r="BA12" s="79">
        <f>AZ14</f>
        <v/>
      </c>
      <c r="BB12" s="79">
        <f>BA14</f>
        <v/>
      </c>
      <c r="BC12" s="79">
        <f>BB14</f>
        <v/>
      </c>
      <c r="BD12" s="79">
        <f>BC14</f>
        <v/>
      </c>
      <c r="BE12" s="79">
        <f>BD14</f>
        <v/>
      </c>
      <c r="BF12" s="79">
        <f>BE14</f>
        <v/>
      </c>
      <c r="BG12" s="79">
        <f>BF14</f>
        <v/>
      </c>
      <c r="BH12" s="79">
        <f>BG14</f>
        <v/>
      </c>
      <c r="BI12" s="79">
        <f>BH14</f>
        <v/>
      </c>
      <c r="BJ12" s="79">
        <f>BI14</f>
        <v/>
      </c>
      <c r="BK12" s="79">
        <f>BJ14</f>
        <v/>
      </c>
      <c r="BL12" s="79">
        <f>BK14</f>
        <v/>
      </c>
      <c r="BN12" s="79">
        <f>E12</f>
        <v/>
      </c>
      <c r="BO12" s="79">
        <f>Q12</f>
        <v/>
      </c>
      <c r="BP12" s="79">
        <f>AC12</f>
        <v/>
      </c>
      <c r="BQ12" s="79">
        <f>AO12</f>
        <v/>
      </c>
      <c r="BR12" s="79">
        <f>BA12</f>
        <v/>
      </c>
    </row>
    <row r="13">
      <c r="A13" s="42" t="inlineStr">
        <is>
          <t xml:space="preserve">    − Использование NOL (≤ лимита % от базы месяца)</t>
        </is>
      </c>
      <c r="B13" s="43" t="inlineStr">
        <is>
          <t>млн ₽</t>
        </is>
      </c>
      <c r="C13" s="79">
        <f>SUM(BN13:BR13)</f>
        <v/>
      </c>
      <c r="D13" s="45" t="inlineStr"/>
      <c r="E13" s="79">
        <f>MIN(E12,MAX(0,E11)*Input!$BN$91)</f>
        <v/>
      </c>
      <c r="F13" s="79">
        <f>MIN(F12,MAX(0,F11)*Input!$BN$91)</f>
        <v/>
      </c>
      <c r="G13" s="79">
        <f>MIN(G12,MAX(0,G11)*Input!$BN$91)</f>
        <v/>
      </c>
      <c r="H13" s="79">
        <f>MIN(H12,MAX(0,H11)*Input!$BN$91)</f>
        <v/>
      </c>
      <c r="I13" s="79">
        <f>MIN(I12,MAX(0,I11)*Input!$BN$91)</f>
        <v/>
      </c>
      <c r="J13" s="79">
        <f>MIN(J12,MAX(0,J11)*Input!$BN$91)</f>
        <v/>
      </c>
      <c r="K13" s="79">
        <f>MIN(K12,MAX(0,K11)*Input!$BN$91)</f>
        <v/>
      </c>
      <c r="L13" s="79">
        <f>MIN(L12,MAX(0,L11)*Input!$BN$91)</f>
        <v/>
      </c>
      <c r="M13" s="79">
        <f>MIN(M12,MAX(0,M11)*Input!$BN$91)</f>
        <v/>
      </c>
      <c r="N13" s="79">
        <f>MIN(N12,MAX(0,N11)*Input!$BN$91)</f>
        <v/>
      </c>
      <c r="O13" s="79">
        <f>MIN(O12,MAX(0,O11)*Input!$BN$91)</f>
        <v/>
      </c>
      <c r="P13" s="79">
        <f>MIN(P12,MAX(0,P11)*Input!$BN$91)</f>
        <v/>
      </c>
      <c r="Q13" s="79">
        <f>MIN(Q12,MAX(0,Q11)*Input!$BN$91)</f>
        <v/>
      </c>
      <c r="R13" s="79">
        <f>MIN(R12,MAX(0,R11)*Input!$BN$91)</f>
        <v/>
      </c>
      <c r="S13" s="79">
        <f>MIN(S12,MAX(0,S11)*Input!$BN$91)</f>
        <v/>
      </c>
      <c r="T13" s="79">
        <f>MIN(T12,MAX(0,T11)*Input!$BN$91)</f>
        <v/>
      </c>
      <c r="U13" s="79">
        <f>MIN(U12,MAX(0,U11)*Input!$BN$91)</f>
        <v/>
      </c>
      <c r="V13" s="79">
        <f>MIN(V12,MAX(0,V11)*Input!$BN$91)</f>
        <v/>
      </c>
      <c r="W13" s="79">
        <f>MIN(W12,MAX(0,W11)*Input!$BN$91)</f>
        <v/>
      </c>
      <c r="X13" s="79">
        <f>MIN(X12,MAX(0,X11)*Input!$BN$91)</f>
        <v/>
      </c>
      <c r="Y13" s="79">
        <f>MIN(Y12,MAX(0,Y11)*Input!$BN$91)</f>
        <v/>
      </c>
      <c r="Z13" s="79">
        <f>MIN(Z12,MAX(0,Z11)*Input!$BN$91)</f>
        <v/>
      </c>
      <c r="AA13" s="79">
        <f>MIN(AA12,MAX(0,AA11)*Input!$BN$91)</f>
        <v/>
      </c>
      <c r="AB13" s="79">
        <f>MIN(AB12,MAX(0,AB11)*Input!$BN$91)</f>
        <v/>
      </c>
      <c r="AC13" s="79">
        <f>MIN(AC12,MAX(0,AC11)*Input!$BN$91)</f>
        <v/>
      </c>
      <c r="AD13" s="79">
        <f>MIN(AD12,MAX(0,AD11)*Input!$BN$91)</f>
        <v/>
      </c>
      <c r="AE13" s="79">
        <f>MIN(AE12,MAX(0,AE11)*Input!$BN$91)</f>
        <v/>
      </c>
      <c r="AF13" s="79">
        <f>MIN(AF12,MAX(0,AF11)*Input!$BN$91)</f>
        <v/>
      </c>
      <c r="AG13" s="79">
        <f>MIN(AG12,MAX(0,AG11)*Input!$BN$91)</f>
        <v/>
      </c>
      <c r="AH13" s="79">
        <f>MIN(AH12,MAX(0,AH11)*Input!$BN$91)</f>
        <v/>
      </c>
      <c r="AI13" s="79">
        <f>MIN(AI12,MAX(0,AI11)*Input!$BN$91)</f>
        <v/>
      </c>
      <c r="AJ13" s="79">
        <f>MIN(AJ12,MAX(0,AJ11)*Input!$BN$91)</f>
        <v/>
      </c>
      <c r="AK13" s="79">
        <f>MIN(AK12,MAX(0,AK11)*Input!$BN$91)</f>
        <v/>
      </c>
      <c r="AL13" s="79">
        <f>MIN(AL12,MAX(0,AL11)*Input!$BN$91)</f>
        <v/>
      </c>
      <c r="AM13" s="79">
        <f>MIN(AM12,MAX(0,AM11)*Input!$BN$91)</f>
        <v/>
      </c>
      <c r="AN13" s="79">
        <f>MIN(AN12,MAX(0,AN11)*Input!$BN$91)</f>
        <v/>
      </c>
      <c r="AO13" s="79">
        <f>MIN(AO12,MAX(0,AO11)*Input!$BN$91)</f>
        <v/>
      </c>
      <c r="AP13" s="79">
        <f>MIN(AP12,MAX(0,AP11)*Input!$BN$91)</f>
        <v/>
      </c>
      <c r="AQ13" s="79">
        <f>MIN(AQ12,MAX(0,AQ11)*Input!$BN$91)</f>
        <v/>
      </c>
      <c r="AR13" s="79">
        <f>MIN(AR12,MAX(0,AR11)*Input!$BN$91)</f>
        <v/>
      </c>
      <c r="AS13" s="79">
        <f>MIN(AS12,MAX(0,AS11)*Input!$BN$91)</f>
        <v/>
      </c>
      <c r="AT13" s="79">
        <f>MIN(AT12,MAX(0,AT11)*Input!$BN$91)</f>
        <v/>
      </c>
      <c r="AU13" s="79">
        <f>MIN(AU12,MAX(0,AU11)*Input!$BN$91)</f>
        <v/>
      </c>
      <c r="AV13" s="79">
        <f>MIN(AV12,MAX(0,AV11)*Input!$BN$91)</f>
        <v/>
      </c>
      <c r="AW13" s="79">
        <f>MIN(AW12,MAX(0,AW11)*Input!$BN$91)</f>
        <v/>
      </c>
      <c r="AX13" s="79">
        <f>MIN(AX12,MAX(0,AX11)*Input!$BN$91)</f>
        <v/>
      </c>
      <c r="AY13" s="79">
        <f>MIN(AY12,MAX(0,AY11)*Input!$BN$91)</f>
        <v/>
      </c>
      <c r="AZ13" s="79">
        <f>MIN(AZ12,MAX(0,AZ11)*Input!$BN$91)</f>
        <v/>
      </c>
      <c r="BA13" s="79">
        <f>MIN(BA12,MAX(0,BA11)*Input!$BN$91)</f>
        <v/>
      </c>
      <c r="BB13" s="79">
        <f>MIN(BB12,MAX(0,BB11)*Input!$BN$91)</f>
        <v/>
      </c>
      <c r="BC13" s="79">
        <f>MIN(BC12,MAX(0,BC11)*Input!$BN$91)</f>
        <v/>
      </c>
      <c r="BD13" s="79">
        <f>MIN(BD12,MAX(0,BD11)*Input!$BN$91)</f>
        <v/>
      </c>
      <c r="BE13" s="79">
        <f>MIN(BE12,MAX(0,BE11)*Input!$BN$91)</f>
        <v/>
      </c>
      <c r="BF13" s="79">
        <f>MIN(BF12,MAX(0,BF11)*Input!$BN$91)</f>
        <v/>
      </c>
      <c r="BG13" s="79">
        <f>MIN(BG12,MAX(0,BG11)*Input!$BN$91)</f>
        <v/>
      </c>
      <c r="BH13" s="79">
        <f>MIN(BH12,MAX(0,BH11)*Input!$BN$91)</f>
        <v/>
      </c>
      <c r="BI13" s="79">
        <f>MIN(BI12,MAX(0,BI11)*Input!$BN$91)</f>
        <v/>
      </c>
      <c r="BJ13" s="79">
        <f>MIN(BJ12,MAX(0,BJ11)*Input!$BN$91)</f>
        <v/>
      </c>
      <c r="BK13" s="79">
        <f>MIN(BK12,MAX(0,BK11)*Input!$BN$91)</f>
        <v/>
      </c>
      <c r="BL13" s="79">
        <f>MIN(BL12,MAX(0,BL11)*Input!$BN$91)</f>
        <v/>
      </c>
      <c r="BN13" s="79">
        <f>SUM(E13:P13)</f>
        <v/>
      </c>
      <c r="BO13" s="79">
        <f>SUM(Q13:AB13)</f>
        <v/>
      </c>
      <c r="BP13" s="79">
        <f>SUM(AC13:AN13)</f>
        <v/>
      </c>
      <c r="BQ13" s="79">
        <f>SUM(AO13:AZ13)</f>
        <v/>
      </c>
      <c r="BR13" s="79">
        <f>SUM(BA13:BL13)</f>
        <v/>
      </c>
    </row>
    <row r="14">
      <c r="A14" s="42" t="inlineStr">
        <is>
          <t xml:space="preserve">    = NOL — конец месяца (+ новые убытки − использование)</t>
        </is>
      </c>
      <c r="B14" s="43" t="inlineStr">
        <is>
          <t>млн ₽</t>
        </is>
      </c>
      <c r="C14" s="48" t="inlineStr">
        <is>
          <t>—</t>
        </is>
      </c>
      <c r="D14" s="45" t="inlineStr"/>
      <c r="E14" s="79">
        <f>E12+MAX(0,-E11)-E13</f>
        <v/>
      </c>
      <c r="F14" s="79">
        <f>F12+MAX(0,-F11)-F13</f>
        <v/>
      </c>
      <c r="G14" s="79">
        <f>G12+MAX(0,-G11)-G13</f>
        <v/>
      </c>
      <c r="H14" s="79">
        <f>H12+MAX(0,-H11)-H13</f>
        <v/>
      </c>
      <c r="I14" s="79">
        <f>I12+MAX(0,-I11)-I13</f>
        <v/>
      </c>
      <c r="J14" s="79">
        <f>J12+MAX(0,-J11)-J13</f>
        <v/>
      </c>
      <c r="K14" s="79">
        <f>K12+MAX(0,-K11)-K13</f>
        <v/>
      </c>
      <c r="L14" s="79">
        <f>L12+MAX(0,-L11)-L13</f>
        <v/>
      </c>
      <c r="M14" s="79">
        <f>M12+MAX(0,-M11)-M13</f>
        <v/>
      </c>
      <c r="N14" s="79">
        <f>N12+MAX(0,-N11)-N13</f>
        <v/>
      </c>
      <c r="O14" s="79">
        <f>O12+MAX(0,-O11)-O13</f>
        <v/>
      </c>
      <c r="P14" s="79">
        <f>P12+MAX(0,-P11)-P13</f>
        <v/>
      </c>
      <c r="Q14" s="79">
        <f>Q12+MAX(0,-Q11)-Q13</f>
        <v/>
      </c>
      <c r="R14" s="79">
        <f>R12+MAX(0,-R11)-R13</f>
        <v/>
      </c>
      <c r="S14" s="79">
        <f>S12+MAX(0,-S11)-S13</f>
        <v/>
      </c>
      <c r="T14" s="79">
        <f>T12+MAX(0,-T11)-T13</f>
        <v/>
      </c>
      <c r="U14" s="79">
        <f>U12+MAX(0,-U11)-U13</f>
        <v/>
      </c>
      <c r="V14" s="79">
        <f>V12+MAX(0,-V11)-V13</f>
        <v/>
      </c>
      <c r="W14" s="79">
        <f>W12+MAX(0,-W11)-W13</f>
        <v/>
      </c>
      <c r="X14" s="79">
        <f>X12+MAX(0,-X11)-X13</f>
        <v/>
      </c>
      <c r="Y14" s="79">
        <f>Y12+MAX(0,-Y11)-Y13</f>
        <v/>
      </c>
      <c r="Z14" s="79">
        <f>Z12+MAX(0,-Z11)-Z13</f>
        <v/>
      </c>
      <c r="AA14" s="79">
        <f>AA12+MAX(0,-AA11)-AA13</f>
        <v/>
      </c>
      <c r="AB14" s="79">
        <f>AB12+MAX(0,-AB11)-AB13</f>
        <v/>
      </c>
      <c r="AC14" s="79">
        <f>AC12+MAX(0,-AC11)-AC13</f>
        <v/>
      </c>
      <c r="AD14" s="79">
        <f>AD12+MAX(0,-AD11)-AD13</f>
        <v/>
      </c>
      <c r="AE14" s="79">
        <f>AE12+MAX(0,-AE11)-AE13</f>
        <v/>
      </c>
      <c r="AF14" s="79">
        <f>AF12+MAX(0,-AF11)-AF13</f>
        <v/>
      </c>
      <c r="AG14" s="79">
        <f>AG12+MAX(0,-AG11)-AG13</f>
        <v/>
      </c>
      <c r="AH14" s="79">
        <f>AH12+MAX(0,-AH11)-AH13</f>
        <v/>
      </c>
      <c r="AI14" s="79">
        <f>AI12+MAX(0,-AI11)-AI13</f>
        <v/>
      </c>
      <c r="AJ14" s="79">
        <f>AJ12+MAX(0,-AJ11)-AJ13</f>
        <v/>
      </c>
      <c r="AK14" s="79">
        <f>AK12+MAX(0,-AK11)-AK13</f>
        <v/>
      </c>
      <c r="AL14" s="79">
        <f>AL12+MAX(0,-AL11)-AL13</f>
        <v/>
      </c>
      <c r="AM14" s="79">
        <f>AM12+MAX(0,-AM11)-AM13</f>
        <v/>
      </c>
      <c r="AN14" s="79">
        <f>AN12+MAX(0,-AN11)-AN13</f>
        <v/>
      </c>
      <c r="AO14" s="79">
        <f>AO12+MAX(0,-AO11)-AO13</f>
        <v/>
      </c>
      <c r="AP14" s="79">
        <f>AP12+MAX(0,-AP11)-AP13</f>
        <v/>
      </c>
      <c r="AQ14" s="79">
        <f>AQ12+MAX(0,-AQ11)-AQ13</f>
        <v/>
      </c>
      <c r="AR14" s="79">
        <f>AR12+MAX(0,-AR11)-AR13</f>
        <v/>
      </c>
      <c r="AS14" s="79">
        <f>AS12+MAX(0,-AS11)-AS13</f>
        <v/>
      </c>
      <c r="AT14" s="79">
        <f>AT12+MAX(0,-AT11)-AT13</f>
        <v/>
      </c>
      <c r="AU14" s="79">
        <f>AU12+MAX(0,-AU11)-AU13</f>
        <v/>
      </c>
      <c r="AV14" s="79">
        <f>AV12+MAX(0,-AV11)-AV13</f>
        <v/>
      </c>
      <c r="AW14" s="79">
        <f>AW12+MAX(0,-AW11)-AW13</f>
        <v/>
      </c>
      <c r="AX14" s="79">
        <f>AX12+MAX(0,-AX11)-AX13</f>
        <v/>
      </c>
      <c r="AY14" s="79">
        <f>AY12+MAX(0,-AY11)-AY13</f>
        <v/>
      </c>
      <c r="AZ14" s="79">
        <f>AZ12+MAX(0,-AZ11)-AZ13</f>
        <v/>
      </c>
      <c r="BA14" s="79">
        <f>BA12+MAX(0,-BA11)-BA13</f>
        <v/>
      </c>
      <c r="BB14" s="79">
        <f>BB12+MAX(0,-BB11)-BB13</f>
        <v/>
      </c>
      <c r="BC14" s="79">
        <f>BC12+MAX(0,-BC11)-BC13</f>
        <v/>
      </c>
      <c r="BD14" s="79">
        <f>BD12+MAX(0,-BD11)-BD13</f>
        <v/>
      </c>
      <c r="BE14" s="79">
        <f>BE12+MAX(0,-BE11)-BE13</f>
        <v/>
      </c>
      <c r="BF14" s="79">
        <f>BF12+MAX(0,-BF11)-BF13</f>
        <v/>
      </c>
      <c r="BG14" s="79">
        <f>BG12+MAX(0,-BG11)-BG13</f>
        <v/>
      </c>
      <c r="BH14" s="79">
        <f>BH12+MAX(0,-BH11)-BH13</f>
        <v/>
      </c>
      <c r="BI14" s="79">
        <f>BI12+MAX(0,-BI11)-BI13</f>
        <v/>
      </c>
      <c r="BJ14" s="79">
        <f>BJ12+MAX(0,-BJ11)-BJ13</f>
        <v/>
      </c>
      <c r="BK14" s="79">
        <f>BK12+MAX(0,-BK11)-BK13</f>
        <v/>
      </c>
      <c r="BL14" s="79">
        <f>BL12+MAX(0,-BL11)-BL13</f>
        <v/>
      </c>
      <c r="BN14" s="79">
        <f>P14</f>
        <v/>
      </c>
      <c r="BO14" s="79">
        <f>AB14</f>
        <v/>
      </c>
      <c r="BP14" s="79">
        <f>AN14</f>
        <v/>
      </c>
      <c r="BQ14" s="79">
        <f>AZ14</f>
        <v/>
      </c>
      <c r="BR14" s="79">
        <f>BL14</f>
        <v/>
      </c>
    </row>
    <row r="15">
      <c r="A15" s="42" t="inlineStr">
        <is>
          <t xml:space="preserve">    × Ставка налога (из Input, ставка своего года)</t>
        </is>
      </c>
      <c r="B15" s="43" t="inlineStr">
        <is>
          <t>%</t>
        </is>
      </c>
      <c r="C15" s="48" t="inlineStr">
        <is>
          <t>—</t>
        </is>
      </c>
      <c r="D15" s="45" t="inlineStr"/>
      <c r="E15" s="92">
        <f>Input!BN89</f>
        <v/>
      </c>
      <c r="F15" s="92">
        <f>Input!BN89</f>
        <v/>
      </c>
      <c r="G15" s="92">
        <f>Input!BN89</f>
        <v/>
      </c>
      <c r="H15" s="92">
        <f>Input!BN89</f>
        <v/>
      </c>
      <c r="I15" s="92">
        <f>Input!BN89</f>
        <v/>
      </c>
      <c r="J15" s="92">
        <f>Input!BN89</f>
        <v/>
      </c>
      <c r="K15" s="92">
        <f>Input!BN89</f>
        <v/>
      </c>
      <c r="L15" s="92">
        <f>Input!BN89</f>
        <v/>
      </c>
      <c r="M15" s="92">
        <f>Input!BN89</f>
        <v/>
      </c>
      <c r="N15" s="92">
        <f>Input!BN89</f>
        <v/>
      </c>
      <c r="O15" s="92">
        <f>Input!BN89</f>
        <v/>
      </c>
      <c r="P15" s="92">
        <f>Input!BN89</f>
        <v/>
      </c>
      <c r="Q15" s="92">
        <f>Input!BO89</f>
        <v/>
      </c>
      <c r="R15" s="92">
        <f>Input!BO89</f>
        <v/>
      </c>
      <c r="S15" s="92">
        <f>Input!BO89</f>
        <v/>
      </c>
      <c r="T15" s="92">
        <f>Input!BO89</f>
        <v/>
      </c>
      <c r="U15" s="92">
        <f>Input!BO89</f>
        <v/>
      </c>
      <c r="V15" s="92">
        <f>Input!BO89</f>
        <v/>
      </c>
      <c r="W15" s="92">
        <f>Input!BO89</f>
        <v/>
      </c>
      <c r="X15" s="92">
        <f>Input!BO89</f>
        <v/>
      </c>
      <c r="Y15" s="92">
        <f>Input!BO89</f>
        <v/>
      </c>
      <c r="Z15" s="92">
        <f>Input!BO89</f>
        <v/>
      </c>
      <c r="AA15" s="92">
        <f>Input!BO89</f>
        <v/>
      </c>
      <c r="AB15" s="92">
        <f>Input!BO89</f>
        <v/>
      </c>
      <c r="AC15" s="92">
        <f>Input!BP89</f>
        <v/>
      </c>
      <c r="AD15" s="92">
        <f>Input!BP89</f>
        <v/>
      </c>
      <c r="AE15" s="92">
        <f>Input!BP89</f>
        <v/>
      </c>
      <c r="AF15" s="92">
        <f>Input!BP89</f>
        <v/>
      </c>
      <c r="AG15" s="92">
        <f>Input!BP89</f>
        <v/>
      </c>
      <c r="AH15" s="92">
        <f>Input!BP89</f>
        <v/>
      </c>
      <c r="AI15" s="92">
        <f>Input!BP89</f>
        <v/>
      </c>
      <c r="AJ15" s="92">
        <f>Input!BP89</f>
        <v/>
      </c>
      <c r="AK15" s="92">
        <f>Input!BP89</f>
        <v/>
      </c>
      <c r="AL15" s="92">
        <f>Input!BP89</f>
        <v/>
      </c>
      <c r="AM15" s="92">
        <f>Input!BP89</f>
        <v/>
      </c>
      <c r="AN15" s="92">
        <f>Input!BP89</f>
        <v/>
      </c>
      <c r="AO15" s="92">
        <f>Input!BQ89</f>
        <v/>
      </c>
      <c r="AP15" s="92">
        <f>Input!BQ89</f>
        <v/>
      </c>
      <c r="AQ15" s="92">
        <f>Input!BQ89</f>
        <v/>
      </c>
      <c r="AR15" s="92">
        <f>Input!BQ89</f>
        <v/>
      </c>
      <c r="AS15" s="92">
        <f>Input!BQ89</f>
        <v/>
      </c>
      <c r="AT15" s="92">
        <f>Input!BQ89</f>
        <v/>
      </c>
      <c r="AU15" s="92">
        <f>Input!BQ89</f>
        <v/>
      </c>
      <c r="AV15" s="92">
        <f>Input!BQ89</f>
        <v/>
      </c>
      <c r="AW15" s="92">
        <f>Input!BQ89</f>
        <v/>
      </c>
      <c r="AX15" s="92">
        <f>Input!BQ89</f>
        <v/>
      </c>
      <c r="AY15" s="92">
        <f>Input!BQ89</f>
        <v/>
      </c>
      <c r="AZ15" s="92">
        <f>Input!BQ89</f>
        <v/>
      </c>
      <c r="BA15" s="92">
        <f>Input!BR89</f>
        <v/>
      </c>
      <c r="BB15" s="92">
        <f>Input!BR89</f>
        <v/>
      </c>
      <c r="BC15" s="92">
        <f>Input!BR89</f>
        <v/>
      </c>
      <c r="BD15" s="92">
        <f>Input!BR89</f>
        <v/>
      </c>
      <c r="BE15" s="92">
        <f>Input!BR89</f>
        <v/>
      </c>
      <c r="BF15" s="92">
        <f>Input!BR89</f>
        <v/>
      </c>
      <c r="BG15" s="92">
        <f>Input!BR89</f>
        <v/>
      </c>
      <c r="BH15" s="92">
        <f>Input!BR89</f>
        <v/>
      </c>
      <c r="BI15" s="92">
        <f>Input!BR89</f>
        <v/>
      </c>
      <c r="BJ15" s="92">
        <f>Input!BR89</f>
        <v/>
      </c>
      <c r="BK15" s="92">
        <f>Input!BR89</f>
        <v/>
      </c>
      <c r="BL15" s="92">
        <f>Input!BR89</f>
        <v/>
      </c>
    </row>
    <row r="16">
      <c r="A16" s="80" t="inlineStr">
        <is>
          <t xml:space="preserve">    = Налог на прибыль = (MAX(EBT,0) − NOL) × ставка</t>
        </is>
      </c>
      <c r="B16" s="81" t="inlineStr">
        <is>
          <t>млн ₽</t>
        </is>
      </c>
      <c r="C16" s="82">
        <f>SUM(BN16:BR16)</f>
        <v/>
      </c>
      <c r="D16" s="45" t="inlineStr"/>
      <c r="E16" s="82">
        <f>(MAX(E11,0)-E13)*E15</f>
        <v/>
      </c>
      <c r="F16" s="82">
        <f>(MAX(F11,0)-F13)*F15</f>
        <v/>
      </c>
      <c r="G16" s="82">
        <f>(MAX(G11,0)-G13)*G15</f>
        <v/>
      </c>
      <c r="H16" s="82">
        <f>(MAX(H11,0)-H13)*H15</f>
        <v/>
      </c>
      <c r="I16" s="82">
        <f>(MAX(I11,0)-I13)*I15</f>
        <v/>
      </c>
      <c r="J16" s="82">
        <f>(MAX(J11,0)-J13)*J15</f>
        <v/>
      </c>
      <c r="K16" s="82">
        <f>(MAX(K11,0)-K13)*K15</f>
        <v/>
      </c>
      <c r="L16" s="82">
        <f>(MAX(L11,0)-L13)*L15</f>
        <v/>
      </c>
      <c r="M16" s="82">
        <f>(MAX(M11,0)-M13)*M15</f>
        <v/>
      </c>
      <c r="N16" s="82">
        <f>(MAX(N11,0)-N13)*N15</f>
        <v/>
      </c>
      <c r="O16" s="82">
        <f>(MAX(O11,0)-O13)*O15</f>
        <v/>
      </c>
      <c r="P16" s="82">
        <f>(MAX(P11,0)-P13)*P15</f>
        <v/>
      </c>
      <c r="Q16" s="82">
        <f>(MAX(Q11,0)-Q13)*Q15</f>
        <v/>
      </c>
      <c r="R16" s="82">
        <f>(MAX(R11,0)-R13)*R15</f>
        <v/>
      </c>
      <c r="S16" s="82">
        <f>(MAX(S11,0)-S13)*S15</f>
        <v/>
      </c>
      <c r="T16" s="82">
        <f>(MAX(T11,0)-T13)*T15</f>
        <v/>
      </c>
      <c r="U16" s="82">
        <f>(MAX(U11,0)-U13)*U15</f>
        <v/>
      </c>
      <c r="V16" s="82">
        <f>(MAX(V11,0)-V13)*V15</f>
        <v/>
      </c>
      <c r="W16" s="82">
        <f>(MAX(W11,0)-W13)*W15</f>
        <v/>
      </c>
      <c r="X16" s="82">
        <f>(MAX(X11,0)-X13)*X15</f>
        <v/>
      </c>
      <c r="Y16" s="82">
        <f>(MAX(Y11,0)-Y13)*Y15</f>
        <v/>
      </c>
      <c r="Z16" s="82">
        <f>(MAX(Z11,0)-Z13)*Z15</f>
        <v/>
      </c>
      <c r="AA16" s="82">
        <f>(MAX(AA11,0)-AA13)*AA15</f>
        <v/>
      </c>
      <c r="AB16" s="82">
        <f>(MAX(AB11,0)-AB13)*AB15</f>
        <v/>
      </c>
      <c r="AC16" s="82">
        <f>(MAX(AC11,0)-AC13)*AC15</f>
        <v/>
      </c>
      <c r="AD16" s="82">
        <f>(MAX(AD11,0)-AD13)*AD15</f>
        <v/>
      </c>
      <c r="AE16" s="82">
        <f>(MAX(AE11,0)-AE13)*AE15</f>
        <v/>
      </c>
      <c r="AF16" s="82">
        <f>(MAX(AF11,0)-AF13)*AF15</f>
        <v/>
      </c>
      <c r="AG16" s="82">
        <f>(MAX(AG11,0)-AG13)*AG15</f>
        <v/>
      </c>
      <c r="AH16" s="82">
        <f>(MAX(AH11,0)-AH13)*AH15</f>
        <v/>
      </c>
      <c r="AI16" s="82">
        <f>(MAX(AI11,0)-AI13)*AI15</f>
        <v/>
      </c>
      <c r="AJ16" s="82">
        <f>(MAX(AJ11,0)-AJ13)*AJ15</f>
        <v/>
      </c>
      <c r="AK16" s="82">
        <f>(MAX(AK11,0)-AK13)*AK15</f>
        <v/>
      </c>
      <c r="AL16" s="82">
        <f>(MAX(AL11,0)-AL13)*AL15</f>
        <v/>
      </c>
      <c r="AM16" s="82">
        <f>(MAX(AM11,0)-AM13)*AM15</f>
        <v/>
      </c>
      <c r="AN16" s="82">
        <f>(MAX(AN11,0)-AN13)*AN15</f>
        <v/>
      </c>
      <c r="AO16" s="82">
        <f>(MAX(AO11,0)-AO13)*AO15</f>
        <v/>
      </c>
      <c r="AP16" s="82">
        <f>(MAX(AP11,0)-AP13)*AP15</f>
        <v/>
      </c>
      <c r="AQ16" s="82">
        <f>(MAX(AQ11,0)-AQ13)*AQ15</f>
        <v/>
      </c>
      <c r="AR16" s="82">
        <f>(MAX(AR11,0)-AR13)*AR15</f>
        <v/>
      </c>
      <c r="AS16" s="82">
        <f>(MAX(AS11,0)-AS13)*AS15</f>
        <v/>
      </c>
      <c r="AT16" s="82">
        <f>(MAX(AT11,0)-AT13)*AT15</f>
        <v/>
      </c>
      <c r="AU16" s="82">
        <f>(MAX(AU11,0)-AU13)*AU15</f>
        <v/>
      </c>
      <c r="AV16" s="82">
        <f>(MAX(AV11,0)-AV13)*AV15</f>
        <v/>
      </c>
      <c r="AW16" s="82">
        <f>(MAX(AW11,0)-AW13)*AW15</f>
        <v/>
      </c>
      <c r="AX16" s="82">
        <f>(MAX(AX11,0)-AX13)*AX15</f>
        <v/>
      </c>
      <c r="AY16" s="82">
        <f>(MAX(AY11,0)-AY13)*AY15</f>
        <v/>
      </c>
      <c r="AZ16" s="82">
        <f>(MAX(AZ11,0)-AZ13)*AZ15</f>
        <v/>
      </c>
      <c r="BA16" s="82">
        <f>(MAX(BA11,0)-BA13)*BA15</f>
        <v/>
      </c>
      <c r="BB16" s="82">
        <f>(MAX(BB11,0)-BB13)*BB15</f>
        <v/>
      </c>
      <c r="BC16" s="82">
        <f>(MAX(BC11,0)-BC13)*BC15</f>
        <v/>
      </c>
      <c r="BD16" s="82">
        <f>(MAX(BD11,0)-BD13)*BD15</f>
        <v/>
      </c>
      <c r="BE16" s="82">
        <f>(MAX(BE11,0)-BE13)*BE15</f>
        <v/>
      </c>
      <c r="BF16" s="82">
        <f>(MAX(BF11,0)-BF13)*BF15</f>
        <v/>
      </c>
      <c r="BG16" s="82">
        <f>(MAX(BG11,0)-BG13)*BG15</f>
        <v/>
      </c>
      <c r="BH16" s="82">
        <f>(MAX(BH11,0)-BH13)*BH15</f>
        <v/>
      </c>
      <c r="BI16" s="82">
        <f>(MAX(BI11,0)-BI13)*BI15</f>
        <v/>
      </c>
      <c r="BJ16" s="82">
        <f>(MAX(BJ11,0)-BJ13)*BJ15</f>
        <v/>
      </c>
      <c r="BK16" s="82">
        <f>(MAX(BK11,0)-BK13)*BK15</f>
        <v/>
      </c>
      <c r="BL16" s="82">
        <f>(MAX(BL11,0)-BL13)*BL15</f>
        <v/>
      </c>
      <c r="BN16" s="82">
        <f>SUM(E16:P16)</f>
        <v/>
      </c>
      <c r="BO16" s="82">
        <f>SUM(Q16:AB16)</f>
        <v/>
      </c>
      <c r="BP16" s="82">
        <f>SUM(AC16:AN16)</f>
        <v/>
      </c>
      <c r="BQ16" s="82">
        <f>SUM(AO16:AZ16)</f>
        <v/>
      </c>
      <c r="BR16" s="82">
        <f>SUM(BA16:BL16)</f>
        <v/>
      </c>
    </row>
    <row r="17">
      <c r="A17" s="80" t="inlineStr">
        <is>
          <t xml:space="preserve">    = Net Income предварит. (EBT − налог)</t>
        </is>
      </c>
      <c r="B17" s="81" t="inlineStr">
        <is>
          <t>млн ₽</t>
        </is>
      </c>
      <c r="C17" s="82">
        <f>SUM(BN17:BR17)</f>
        <v/>
      </c>
      <c r="D17" s="45" t="inlineStr"/>
      <c r="E17" s="82">
        <f>E11-E16</f>
        <v/>
      </c>
      <c r="F17" s="82">
        <f>F11-F16</f>
        <v/>
      </c>
      <c r="G17" s="82">
        <f>G11-G16</f>
        <v/>
      </c>
      <c r="H17" s="82">
        <f>H11-H16</f>
        <v/>
      </c>
      <c r="I17" s="82">
        <f>I11-I16</f>
        <v/>
      </c>
      <c r="J17" s="82">
        <f>J11-J16</f>
        <v/>
      </c>
      <c r="K17" s="82">
        <f>K11-K16</f>
        <v/>
      </c>
      <c r="L17" s="82">
        <f>L11-L16</f>
        <v/>
      </c>
      <c r="M17" s="82">
        <f>M11-M16</f>
        <v/>
      </c>
      <c r="N17" s="82">
        <f>N11-N16</f>
        <v/>
      </c>
      <c r="O17" s="82">
        <f>O11-O16</f>
        <v/>
      </c>
      <c r="P17" s="82">
        <f>P11-P16</f>
        <v/>
      </c>
      <c r="Q17" s="82">
        <f>Q11-Q16</f>
        <v/>
      </c>
      <c r="R17" s="82">
        <f>R11-R16</f>
        <v/>
      </c>
      <c r="S17" s="82">
        <f>S11-S16</f>
        <v/>
      </c>
      <c r="T17" s="82">
        <f>T11-T16</f>
        <v/>
      </c>
      <c r="U17" s="82">
        <f>U11-U16</f>
        <v/>
      </c>
      <c r="V17" s="82">
        <f>V11-V16</f>
        <v/>
      </c>
      <c r="W17" s="82">
        <f>W11-W16</f>
        <v/>
      </c>
      <c r="X17" s="82">
        <f>X11-X16</f>
        <v/>
      </c>
      <c r="Y17" s="82">
        <f>Y11-Y16</f>
        <v/>
      </c>
      <c r="Z17" s="82">
        <f>Z11-Z16</f>
        <v/>
      </c>
      <c r="AA17" s="82">
        <f>AA11-AA16</f>
        <v/>
      </c>
      <c r="AB17" s="82">
        <f>AB11-AB16</f>
        <v/>
      </c>
      <c r="AC17" s="82">
        <f>AC11-AC16</f>
        <v/>
      </c>
      <c r="AD17" s="82">
        <f>AD11-AD16</f>
        <v/>
      </c>
      <c r="AE17" s="82">
        <f>AE11-AE16</f>
        <v/>
      </c>
      <c r="AF17" s="82">
        <f>AF11-AF16</f>
        <v/>
      </c>
      <c r="AG17" s="82">
        <f>AG11-AG16</f>
        <v/>
      </c>
      <c r="AH17" s="82">
        <f>AH11-AH16</f>
        <v/>
      </c>
      <c r="AI17" s="82">
        <f>AI11-AI16</f>
        <v/>
      </c>
      <c r="AJ17" s="82">
        <f>AJ11-AJ16</f>
        <v/>
      </c>
      <c r="AK17" s="82">
        <f>AK11-AK16</f>
        <v/>
      </c>
      <c r="AL17" s="82">
        <f>AL11-AL16</f>
        <v/>
      </c>
      <c r="AM17" s="82">
        <f>AM11-AM16</f>
        <v/>
      </c>
      <c r="AN17" s="82">
        <f>AN11-AN16</f>
        <v/>
      </c>
      <c r="AO17" s="82">
        <f>AO11-AO16</f>
        <v/>
      </c>
      <c r="AP17" s="82">
        <f>AP11-AP16</f>
        <v/>
      </c>
      <c r="AQ17" s="82">
        <f>AQ11-AQ16</f>
        <v/>
      </c>
      <c r="AR17" s="82">
        <f>AR11-AR16</f>
        <v/>
      </c>
      <c r="AS17" s="82">
        <f>AS11-AS16</f>
        <v/>
      </c>
      <c r="AT17" s="82">
        <f>AT11-AT16</f>
        <v/>
      </c>
      <c r="AU17" s="82">
        <f>AU11-AU16</f>
        <v/>
      </c>
      <c r="AV17" s="82">
        <f>AV11-AV16</f>
        <v/>
      </c>
      <c r="AW17" s="82">
        <f>AW11-AW16</f>
        <v/>
      </c>
      <c r="AX17" s="82">
        <f>AX11-AX16</f>
        <v/>
      </c>
      <c r="AY17" s="82">
        <f>AY11-AY16</f>
        <v/>
      </c>
      <c r="AZ17" s="82">
        <f>AZ11-AZ16</f>
        <v/>
      </c>
      <c r="BA17" s="82">
        <f>BA11-BA16</f>
        <v/>
      </c>
      <c r="BB17" s="82">
        <f>BB11-BB16</f>
        <v/>
      </c>
      <c r="BC17" s="82">
        <f>BC11-BC16</f>
        <v/>
      </c>
      <c r="BD17" s="82">
        <f>BD11-BD16</f>
        <v/>
      </c>
      <c r="BE17" s="82">
        <f>BE11-BE16</f>
        <v/>
      </c>
      <c r="BF17" s="82">
        <f>BF11-BF16</f>
        <v/>
      </c>
      <c r="BG17" s="82">
        <f>BG11-BG16</f>
        <v/>
      </c>
      <c r="BH17" s="82">
        <f>BH11-BH16</f>
        <v/>
      </c>
      <c r="BI17" s="82">
        <f>BI11-BI16</f>
        <v/>
      </c>
      <c r="BJ17" s="82">
        <f>BJ11-BJ16</f>
        <v/>
      </c>
      <c r="BK17" s="82">
        <f>BK11-BK16</f>
        <v/>
      </c>
      <c r="BL17" s="82">
        <f>BL11-BL16</f>
        <v/>
      </c>
      <c r="BN17" s="82">
        <f>SUM(E17:P17)</f>
        <v/>
      </c>
      <c r="BO17" s="82">
        <f>SUM(Q17:AB17)</f>
        <v/>
      </c>
      <c r="BP17" s="82">
        <f>SUM(AC17:AN17)</f>
        <v/>
      </c>
      <c r="BQ17" s="82">
        <f>SUM(AO17:AZ17)</f>
        <v/>
      </c>
      <c r="BR17" s="82">
        <f>SUM(BA17:BL17)</f>
        <v/>
      </c>
    </row>
    <row r="18"/>
    <row r="19" ht="22" customHeight="1">
      <c r="A19" s="62" t="inlineStr">
        <is>
          <t xml:space="preserve">  НДС — СПРАВОЧНО (не в P&amp;L; уплата в Cash Flow)</t>
        </is>
      </c>
    </row>
    <row r="20">
      <c r="A20" s="42" t="inlineStr">
        <is>
          <t xml:space="preserve">    НДС исходящий = Выручка × ст./(1+ст.)</t>
        </is>
      </c>
      <c r="B20" s="43" t="inlineStr">
        <is>
          <t>млн ₽</t>
        </is>
      </c>
      <c r="C20" s="53">
        <f>SUM(BN20:BR20)</f>
        <v/>
      </c>
      <c r="D20" s="45" t="inlineStr"/>
      <c r="E20" s="53">
        <f>'COGS &amp; SGA'!E6*Input!BN90/(1+Input!BN90)</f>
        <v/>
      </c>
      <c r="F20" s="53">
        <f>'COGS &amp; SGA'!F6*Input!BN90/(1+Input!BN90)</f>
        <v/>
      </c>
      <c r="G20" s="53">
        <f>'COGS &amp; SGA'!G6*Input!BN90/(1+Input!BN90)</f>
        <v/>
      </c>
      <c r="H20" s="53">
        <f>'COGS &amp; SGA'!H6*Input!BN90/(1+Input!BN90)</f>
        <v/>
      </c>
      <c r="I20" s="53">
        <f>'COGS &amp; SGA'!I6*Input!BN90/(1+Input!BN90)</f>
        <v/>
      </c>
      <c r="J20" s="53">
        <f>'COGS &amp; SGA'!J6*Input!BN90/(1+Input!BN90)</f>
        <v/>
      </c>
      <c r="K20" s="53">
        <f>'COGS &amp; SGA'!K6*Input!BN90/(1+Input!BN90)</f>
        <v/>
      </c>
      <c r="L20" s="53">
        <f>'COGS &amp; SGA'!L6*Input!BN90/(1+Input!BN90)</f>
        <v/>
      </c>
      <c r="M20" s="53">
        <f>'COGS &amp; SGA'!M6*Input!BN90/(1+Input!BN90)</f>
        <v/>
      </c>
      <c r="N20" s="53">
        <f>'COGS &amp; SGA'!N6*Input!BN90/(1+Input!BN90)</f>
        <v/>
      </c>
      <c r="O20" s="53">
        <f>'COGS &amp; SGA'!O6*Input!BN90/(1+Input!BN90)</f>
        <v/>
      </c>
      <c r="P20" s="53">
        <f>'COGS &amp; SGA'!P6*Input!BN90/(1+Input!BN90)</f>
        <v/>
      </c>
      <c r="Q20" s="53">
        <f>'COGS &amp; SGA'!Q6*Input!BO90/(1+Input!BO90)</f>
        <v/>
      </c>
      <c r="R20" s="53">
        <f>'COGS &amp; SGA'!R6*Input!BO90/(1+Input!BO90)</f>
        <v/>
      </c>
      <c r="S20" s="53">
        <f>'COGS &amp; SGA'!S6*Input!BO90/(1+Input!BO90)</f>
        <v/>
      </c>
      <c r="T20" s="53">
        <f>'COGS &amp; SGA'!T6*Input!BO90/(1+Input!BO90)</f>
        <v/>
      </c>
      <c r="U20" s="53">
        <f>'COGS &amp; SGA'!U6*Input!BO90/(1+Input!BO90)</f>
        <v/>
      </c>
      <c r="V20" s="53">
        <f>'COGS &amp; SGA'!V6*Input!BO90/(1+Input!BO90)</f>
        <v/>
      </c>
      <c r="W20" s="53">
        <f>'COGS &amp; SGA'!W6*Input!BO90/(1+Input!BO90)</f>
        <v/>
      </c>
      <c r="X20" s="53">
        <f>'COGS &amp; SGA'!X6*Input!BO90/(1+Input!BO90)</f>
        <v/>
      </c>
      <c r="Y20" s="53">
        <f>'COGS &amp; SGA'!Y6*Input!BO90/(1+Input!BO90)</f>
        <v/>
      </c>
      <c r="Z20" s="53">
        <f>'COGS &amp; SGA'!Z6*Input!BO90/(1+Input!BO90)</f>
        <v/>
      </c>
      <c r="AA20" s="53">
        <f>'COGS &amp; SGA'!AA6*Input!BO90/(1+Input!BO90)</f>
        <v/>
      </c>
      <c r="AB20" s="53">
        <f>'COGS &amp; SGA'!AB6*Input!BO90/(1+Input!BO90)</f>
        <v/>
      </c>
      <c r="AC20" s="53">
        <f>'COGS &amp; SGA'!AC6*Input!BP90/(1+Input!BP90)</f>
        <v/>
      </c>
      <c r="AD20" s="53">
        <f>'COGS &amp; SGA'!AD6*Input!BP90/(1+Input!BP90)</f>
        <v/>
      </c>
      <c r="AE20" s="53">
        <f>'COGS &amp; SGA'!AE6*Input!BP90/(1+Input!BP90)</f>
        <v/>
      </c>
      <c r="AF20" s="53">
        <f>'COGS &amp; SGA'!AF6*Input!BP90/(1+Input!BP90)</f>
        <v/>
      </c>
      <c r="AG20" s="53">
        <f>'COGS &amp; SGA'!AG6*Input!BP90/(1+Input!BP90)</f>
        <v/>
      </c>
      <c r="AH20" s="53">
        <f>'COGS &amp; SGA'!AH6*Input!BP90/(1+Input!BP90)</f>
        <v/>
      </c>
      <c r="AI20" s="53">
        <f>'COGS &amp; SGA'!AI6*Input!BP90/(1+Input!BP90)</f>
        <v/>
      </c>
      <c r="AJ20" s="53">
        <f>'COGS &amp; SGA'!AJ6*Input!BP90/(1+Input!BP90)</f>
        <v/>
      </c>
      <c r="AK20" s="53">
        <f>'COGS &amp; SGA'!AK6*Input!BP90/(1+Input!BP90)</f>
        <v/>
      </c>
      <c r="AL20" s="53">
        <f>'COGS &amp; SGA'!AL6*Input!BP90/(1+Input!BP90)</f>
        <v/>
      </c>
      <c r="AM20" s="53">
        <f>'COGS &amp; SGA'!AM6*Input!BP90/(1+Input!BP90)</f>
        <v/>
      </c>
      <c r="AN20" s="53">
        <f>'COGS &amp; SGA'!AN6*Input!BP90/(1+Input!BP90)</f>
        <v/>
      </c>
      <c r="AO20" s="53">
        <f>'COGS &amp; SGA'!AO6*Input!BQ90/(1+Input!BQ90)</f>
        <v/>
      </c>
      <c r="AP20" s="53">
        <f>'COGS &amp; SGA'!AP6*Input!BQ90/(1+Input!BQ90)</f>
        <v/>
      </c>
      <c r="AQ20" s="53">
        <f>'COGS &amp; SGA'!AQ6*Input!BQ90/(1+Input!BQ90)</f>
        <v/>
      </c>
      <c r="AR20" s="53">
        <f>'COGS &amp; SGA'!AR6*Input!BQ90/(1+Input!BQ90)</f>
        <v/>
      </c>
      <c r="AS20" s="53">
        <f>'COGS &amp; SGA'!AS6*Input!BQ90/(1+Input!BQ90)</f>
        <v/>
      </c>
      <c r="AT20" s="53">
        <f>'COGS &amp; SGA'!AT6*Input!BQ90/(1+Input!BQ90)</f>
        <v/>
      </c>
      <c r="AU20" s="53">
        <f>'COGS &amp; SGA'!AU6*Input!BQ90/(1+Input!BQ90)</f>
        <v/>
      </c>
      <c r="AV20" s="53">
        <f>'COGS &amp; SGA'!AV6*Input!BQ90/(1+Input!BQ90)</f>
        <v/>
      </c>
      <c r="AW20" s="53">
        <f>'COGS &amp; SGA'!AW6*Input!BQ90/(1+Input!BQ90)</f>
        <v/>
      </c>
      <c r="AX20" s="53">
        <f>'COGS &amp; SGA'!AX6*Input!BQ90/(1+Input!BQ90)</f>
        <v/>
      </c>
      <c r="AY20" s="53">
        <f>'COGS &amp; SGA'!AY6*Input!BQ90/(1+Input!BQ90)</f>
        <v/>
      </c>
      <c r="AZ20" s="53">
        <f>'COGS &amp; SGA'!AZ6*Input!BQ90/(1+Input!BQ90)</f>
        <v/>
      </c>
      <c r="BA20" s="53">
        <f>'COGS &amp; SGA'!BA6*Input!BR90/(1+Input!BR90)</f>
        <v/>
      </c>
      <c r="BB20" s="53">
        <f>'COGS &amp; SGA'!BB6*Input!BR90/(1+Input!BR90)</f>
        <v/>
      </c>
      <c r="BC20" s="53">
        <f>'COGS &amp; SGA'!BC6*Input!BR90/(1+Input!BR90)</f>
        <v/>
      </c>
      <c r="BD20" s="53">
        <f>'COGS &amp; SGA'!BD6*Input!BR90/(1+Input!BR90)</f>
        <v/>
      </c>
      <c r="BE20" s="53">
        <f>'COGS &amp; SGA'!BE6*Input!BR90/(1+Input!BR90)</f>
        <v/>
      </c>
      <c r="BF20" s="53">
        <f>'COGS &amp; SGA'!BF6*Input!BR90/(1+Input!BR90)</f>
        <v/>
      </c>
      <c r="BG20" s="53">
        <f>'COGS &amp; SGA'!BG6*Input!BR90/(1+Input!BR90)</f>
        <v/>
      </c>
      <c r="BH20" s="53">
        <f>'COGS &amp; SGA'!BH6*Input!BR90/(1+Input!BR90)</f>
        <v/>
      </c>
      <c r="BI20" s="53">
        <f>'COGS &amp; SGA'!BI6*Input!BR90/(1+Input!BR90)</f>
        <v/>
      </c>
      <c r="BJ20" s="53">
        <f>'COGS &amp; SGA'!BJ6*Input!BR90/(1+Input!BR90)</f>
        <v/>
      </c>
      <c r="BK20" s="53">
        <f>'COGS &amp; SGA'!BK6*Input!BR90/(1+Input!BR90)</f>
        <v/>
      </c>
      <c r="BL20" s="53">
        <f>'COGS &amp; SGA'!BL6*Input!BR90/(1+Input!BR90)</f>
        <v/>
      </c>
      <c r="BN20" s="53">
        <f>SUM(E20:P20)</f>
        <v/>
      </c>
      <c r="BO20" s="53">
        <f>SUM(Q20:AB20)</f>
        <v/>
      </c>
      <c r="BP20" s="53">
        <f>SUM(AC20:AN20)</f>
        <v/>
      </c>
      <c r="BQ20" s="53">
        <f>SUM(AO20:AZ20)</f>
        <v/>
      </c>
      <c r="BR20" s="53">
        <f>SUM(BA20:BL20)</f>
        <v/>
      </c>
    </row>
    <row r="21">
      <c r="A21" s="42" t="inlineStr">
        <is>
          <t xml:space="preserve">    − НДС входящий = (COGS+CAPEX) × ст./(1+ст.)</t>
        </is>
      </c>
      <c r="B21" s="43" t="inlineStr">
        <is>
          <t>млн ₽</t>
        </is>
      </c>
      <c r="C21" s="53">
        <f>SUM(BN21:BR21)</f>
        <v/>
      </c>
      <c r="D21" s="45" t="inlineStr"/>
      <c r="E21" s="53">
        <f>('COGS &amp; SGA'!E15+'CAPEX &amp; D&amp;A'!E13)*Input!BN90/(1+Input!BN90)</f>
        <v/>
      </c>
      <c r="F21" s="53">
        <f>('COGS &amp; SGA'!F15+'CAPEX &amp; D&amp;A'!F13)*Input!BN90/(1+Input!BN90)</f>
        <v/>
      </c>
      <c r="G21" s="53">
        <f>('COGS &amp; SGA'!G15+'CAPEX &amp; D&amp;A'!G13)*Input!BN90/(1+Input!BN90)</f>
        <v/>
      </c>
      <c r="H21" s="53">
        <f>('COGS &amp; SGA'!H15+'CAPEX &amp; D&amp;A'!H13)*Input!BN90/(1+Input!BN90)</f>
        <v/>
      </c>
      <c r="I21" s="53">
        <f>('COGS &amp; SGA'!I15+'CAPEX &amp; D&amp;A'!I13)*Input!BN90/(1+Input!BN90)</f>
        <v/>
      </c>
      <c r="J21" s="53">
        <f>('COGS &amp; SGA'!J15+'CAPEX &amp; D&amp;A'!J13)*Input!BN90/(1+Input!BN90)</f>
        <v/>
      </c>
      <c r="K21" s="53">
        <f>('COGS &amp; SGA'!K15+'CAPEX &amp; D&amp;A'!K13)*Input!BN90/(1+Input!BN90)</f>
        <v/>
      </c>
      <c r="L21" s="53">
        <f>('COGS &amp; SGA'!L15+'CAPEX &amp; D&amp;A'!L13)*Input!BN90/(1+Input!BN90)</f>
        <v/>
      </c>
      <c r="M21" s="53">
        <f>('COGS &amp; SGA'!M15+'CAPEX &amp; D&amp;A'!M13)*Input!BN90/(1+Input!BN90)</f>
        <v/>
      </c>
      <c r="N21" s="53">
        <f>('COGS &amp; SGA'!N15+'CAPEX &amp; D&amp;A'!N13)*Input!BN90/(1+Input!BN90)</f>
        <v/>
      </c>
      <c r="O21" s="53">
        <f>('COGS &amp; SGA'!O15+'CAPEX &amp; D&amp;A'!O13)*Input!BN90/(1+Input!BN90)</f>
        <v/>
      </c>
      <c r="P21" s="53">
        <f>('COGS &amp; SGA'!P15+'CAPEX &amp; D&amp;A'!P13)*Input!BN90/(1+Input!BN90)</f>
        <v/>
      </c>
      <c r="Q21" s="53">
        <f>('COGS &amp; SGA'!Q15+'CAPEX &amp; D&amp;A'!Q13)*Input!BO90/(1+Input!BO90)</f>
        <v/>
      </c>
      <c r="R21" s="53">
        <f>('COGS &amp; SGA'!R15+'CAPEX &amp; D&amp;A'!R13)*Input!BO90/(1+Input!BO90)</f>
        <v/>
      </c>
      <c r="S21" s="53">
        <f>('COGS &amp; SGA'!S15+'CAPEX &amp; D&amp;A'!S13)*Input!BO90/(1+Input!BO90)</f>
        <v/>
      </c>
      <c r="T21" s="53">
        <f>('COGS &amp; SGA'!T15+'CAPEX &amp; D&amp;A'!T13)*Input!BO90/(1+Input!BO90)</f>
        <v/>
      </c>
      <c r="U21" s="53">
        <f>('COGS &amp; SGA'!U15+'CAPEX &amp; D&amp;A'!U13)*Input!BO90/(1+Input!BO90)</f>
        <v/>
      </c>
      <c r="V21" s="53">
        <f>('COGS &amp; SGA'!V15+'CAPEX &amp; D&amp;A'!V13)*Input!BO90/(1+Input!BO90)</f>
        <v/>
      </c>
      <c r="W21" s="53">
        <f>('COGS &amp; SGA'!W15+'CAPEX &amp; D&amp;A'!W13)*Input!BO90/(1+Input!BO90)</f>
        <v/>
      </c>
      <c r="X21" s="53">
        <f>('COGS &amp; SGA'!X15+'CAPEX &amp; D&amp;A'!X13)*Input!BO90/(1+Input!BO90)</f>
        <v/>
      </c>
      <c r="Y21" s="53">
        <f>('COGS &amp; SGA'!Y15+'CAPEX &amp; D&amp;A'!Y13)*Input!BO90/(1+Input!BO90)</f>
        <v/>
      </c>
      <c r="Z21" s="53">
        <f>('COGS &amp; SGA'!Z15+'CAPEX &amp; D&amp;A'!Z13)*Input!BO90/(1+Input!BO90)</f>
        <v/>
      </c>
      <c r="AA21" s="53">
        <f>('COGS &amp; SGA'!AA15+'CAPEX &amp; D&amp;A'!AA13)*Input!BO90/(1+Input!BO90)</f>
        <v/>
      </c>
      <c r="AB21" s="53">
        <f>('COGS &amp; SGA'!AB15+'CAPEX &amp; D&amp;A'!AB13)*Input!BO90/(1+Input!BO90)</f>
        <v/>
      </c>
      <c r="AC21" s="53">
        <f>('COGS &amp; SGA'!AC15+'CAPEX &amp; D&amp;A'!AC13)*Input!BP90/(1+Input!BP90)</f>
        <v/>
      </c>
      <c r="AD21" s="53">
        <f>('COGS &amp; SGA'!AD15+'CAPEX &amp; D&amp;A'!AD13)*Input!BP90/(1+Input!BP90)</f>
        <v/>
      </c>
      <c r="AE21" s="53">
        <f>('COGS &amp; SGA'!AE15+'CAPEX &amp; D&amp;A'!AE13)*Input!BP90/(1+Input!BP90)</f>
        <v/>
      </c>
      <c r="AF21" s="53">
        <f>('COGS &amp; SGA'!AF15+'CAPEX &amp; D&amp;A'!AF13)*Input!BP90/(1+Input!BP90)</f>
        <v/>
      </c>
      <c r="AG21" s="53">
        <f>('COGS &amp; SGA'!AG15+'CAPEX &amp; D&amp;A'!AG13)*Input!BP90/(1+Input!BP90)</f>
        <v/>
      </c>
      <c r="AH21" s="53">
        <f>('COGS &amp; SGA'!AH15+'CAPEX &amp; D&amp;A'!AH13)*Input!BP90/(1+Input!BP90)</f>
        <v/>
      </c>
      <c r="AI21" s="53">
        <f>('COGS &amp; SGA'!AI15+'CAPEX &amp; D&amp;A'!AI13)*Input!BP90/(1+Input!BP90)</f>
        <v/>
      </c>
      <c r="AJ21" s="53">
        <f>('COGS &amp; SGA'!AJ15+'CAPEX &amp; D&amp;A'!AJ13)*Input!BP90/(1+Input!BP90)</f>
        <v/>
      </c>
      <c r="AK21" s="53">
        <f>('COGS &amp; SGA'!AK15+'CAPEX &amp; D&amp;A'!AK13)*Input!BP90/(1+Input!BP90)</f>
        <v/>
      </c>
      <c r="AL21" s="53">
        <f>('COGS &amp; SGA'!AL15+'CAPEX &amp; D&amp;A'!AL13)*Input!BP90/(1+Input!BP90)</f>
        <v/>
      </c>
      <c r="AM21" s="53">
        <f>('COGS &amp; SGA'!AM15+'CAPEX &amp; D&amp;A'!AM13)*Input!BP90/(1+Input!BP90)</f>
        <v/>
      </c>
      <c r="AN21" s="53">
        <f>('COGS &amp; SGA'!AN15+'CAPEX &amp; D&amp;A'!AN13)*Input!BP90/(1+Input!BP90)</f>
        <v/>
      </c>
      <c r="AO21" s="53">
        <f>('COGS &amp; SGA'!AO15+'CAPEX &amp; D&amp;A'!AO13)*Input!BQ90/(1+Input!BQ90)</f>
        <v/>
      </c>
      <c r="AP21" s="53">
        <f>('COGS &amp; SGA'!AP15+'CAPEX &amp; D&amp;A'!AP13)*Input!BQ90/(1+Input!BQ90)</f>
        <v/>
      </c>
      <c r="AQ21" s="53">
        <f>('COGS &amp; SGA'!AQ15+'CAPEX &amp; D&amp;A'!AQ13)*Input!BQ90/(1+Input!BQ90)</f>
        <v/>
      </c>
      <c r="AR21" s="53">
        <f>('COGS &amp; SGA'!AR15+'CAPEX &amp; D&amp;A'!AR13)*Input!BQ90/(1+Input!BQ90)</f>
        <v/>
      </c>
      <c r="AS21" s="53">
        <f>('COGS &amp; SGA'!AS15+'CAPEX &amp; D&amp;A'!AS13)*Input!BQ90/(1+Input!BQ90)</f>
        <v/>
      </c>
      <c r="AT21" s="53">
        <f>('COGS &amp; SGA'!AT15+'CAPEX &amp; D&amp;A'!AT13)*Input!BQ90/(1+Input!BQ90)</f>
        <v/>
      </c>
      <c r="AU21" s="53">
        <f>('COGS &amp; SGA'!AU15+'CAPEX &amp; D&amp;A'!AU13)*Input!BQ90/(1+Input!BQ90)</f>
        <v/>
      </c>
      <c r="AV21" s="53">
        <f>('COGS &amp; SGA'!AV15+'CAPEX &amp; D&amp;A'!AV13)*Input!BQ90/(1+Input!BQ90)</f>
        <v/>
      </c>
      <c r="AW21" s="53">
        <f>('COGS &amp; SGA'!AW15+'CAPEX &amp; D&amp;A'!AW13)*Input!BQ90/(1+Input!BQ90)</f>
        <v/>
      </c>
      <c r="AX21" s="53">
        <f>('COGS &amp; SGA'!AX15+'CAPEX &amp; D&amp;A'!AX13)*Input!BQ90/(1+Input!BQ90)</f>
        <v/>
      </c>
      <c r="AY21" s="53">
        <f>('COGS &amp; SGA'!AY15+'CAPEX &amp; D&amp;A'!AY13)*Input!BQ90/(1+Input!BQ90)</f>
        <v/>
      </c>
      <c r="AZ21" s="53">
        <f>('COGS &amp; SGA'!AZ15+'CAPEX &amp; D&amp;A'!AZ13)*Input!BQ90/(1+Input!BQ90)</f>
        <v/>
      </c>
      <c r="BA21" s="53">
        <f>('COGS &amp; SGA'!BA15+'CAPEX &amp; D&amp;A'!BA13)*Input!BR90/(1+Input!BR90)</f>
        <v/>
      </c>
      <c r="BB21" s="53">
        <f>('COGS &amp; SGA'!BB15+'CAPEX &amp; D&amp;A'!BB13)*Input!BR90/(1+Input!BR90)</f>
        <v/>
      </c>
      <c r="BC21" s="53">
        <f>('COGS &amp; SGA'!BC15+'CAPEX &amp; D&amp;A'!BC13)*Input!BR90/(1+Input!BR90)</f>
        <v/>
      </c>
      <c r="BD21" s="53">
        <f>('COGS &amp; SGA'!BD15+'CAPEX &amp; D&amp;A'!BD13)*Input!BR90/(1+Input!BR90)</f>
        <v/>
      </c>
      <c r="BE21" s="53">
        <f>('COGS &amp; SGA'!BE15+'CAPEX &amp; D&amp;A'!BE13)*Input!BR90/(1+Input!BR90)</f>
        <v/>
      </c>
      <c r="BF21" s="53">
        <f>('COGS &amp; SGA'!BF15+'CAPEX &amp; D&amp;A'!BF13)*Input!BR90/(1+Input!BR90)</f>
        <v/>
      </c>
      <c r="BG21" s="53">
        <f>('COGS &amp; SGA'!BG15+'CAPEX &amp; D&amp;A'!BG13)*Input!BR90/(1+Input!BR90)</f>
        <v/>
      </c>
      <c r="BH21" s="53">
        <f>('COGS &amp; SGA'!BH15+'CAPEX &amp; D&amp;A'!BH13)*Input!BR90/(1+Input!BR90)</f>
        <v/>
      </c>
      <c r="BI21" s="53">
        <f>('COGS &amp; SGA'!BI15+'CAPEX &amp; D&amp;A'!BI13)*Input!BR90/(1+Input!BR90)</f>
        <v/>
      </c>
      <c r="BJ21" s="53">
        <f>('COGS &amp; SGA'!BJ15+'CAPEX &amp; D&amp;A'!BJ13)*Input!BR90/(1+Input!BR90)</f>
        <v/>
      </c>
      <c r="BK21" s="53">
        <f>('COGS &amp; SGA'!BK15+'CAPEX &amp; D&amp;A'!BK13)*Input!BR90/(1+Input!BR90)</f>
        <v/>
      </c>
      <c r="BL21" s="53">
        <f>('COGS &amp; SGA'!BL15+'CAPEX &amp; D&amp;A'!BL13)*Input!BR90/(1+Input!BR90)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51" t="inlineStr">
        <is>
          <t xml:space="preserve">    = НДС начислено за месяц, нетто (− = к возмещению, переносится)</t>
        </is>
      </c>
      <c r="B22" s="52" t="inlineStr">
        <is>
          <t>млн ₽</t>
        </is>
      </c>
      <c r="C22" s="53">
        <f>SUM(BN22:BR22)</f>
        <v/>
      </c>
      <c r="D22" s="45" t="inlineStr"/>
      <c r="E22" s="67">
        <f>E20-E21</f>
        <v/>
      </c>
      <c r="F22" s="67">
        <f>F20-F21</f>
        <v/>
      </c>
      <c r="G22" s="67">
        <f>G20-G21</f>
        <v/>
      </c>
      <c r="H22" s="67">
        <f>H20-H21</f>
        <v/>
      </c>
      <c r="I22" s="67">
        <f>I20-I21</f>
        <v/>
      </c>
      <c r="J22" s="67">
        <f>J20-J21</f>
        <v/>
      </c>
      <c r="K22" s="67">
        <f>K20-K21</f>
        <v/>
      </c>
      <c r="L22" s="67">
        <f>L20-L21</f>
        <v/>
      </c>
      <c r="M22" s="67">
        <f>M20-M21</f>
        <v/>
      </c>
      <c r="N22" s="67">
        <f>N20-N21</f>
        <v/>
      </c>
      <c r="O22" s="67">
        <f>O20-O21</f>
        <v/>
      </c>
      <c r="P22" s="67">
        <f>P20-P21</f>
        <v/>
      </c>
      <c r="Q22" s="67">
        <f>Q20-Q21</f>
        <v/>
      </c>
      <c r="R22" s="67">
        <f>R20-R21</f>
        <v/>
      </c>
      <c r="S22" s="67">
        <f>S20-S21</f>
        <v/>
      </c>
      <c r="T22" s="67">
        <f>T20-T21</f>
        <v/>
      </c>
      <c r="U22" s="67">
        <f>U20-U21</f>
        <v/>
      </c>
      <c r="V22" s="67">
        <f>V20-V21</f>
        <v/>
      </c>
      <c r="W22" s="67">
        <f>W20-W21</f>
        <v/>
      </c>
      <c r="X22" s="67">
        <f>X20-X21</f>
        <v/>
      </c>
      <c r="Y22" s="67">
        <f>Y20-Y21</f>
        <v/>
      </c>
      <c r="Z22" s="67">
        <f>Z20-Z21</f>
        <v/>
      </c>
      <c r="AA22" s="67">
        <f>AA20-AA21</f>
        <v/>
      </c>
      <c r="AB22" s="67">
        <f>AB20-AB21</f>
        <v/>
      </c>
      <c r="AC22" s="67">
        <f>AC20-AC21</f>
        <v/>
      </c>
      <c r="AD22" s="67">
        <f>AD20-AD21</f>
        <v/>
      </c>
      <c r="AE22" s="67">
        <f>AE20-AE21</f>
        <v/>
      </c>
      <c r="AF22" s="67">
        <f>AF20-AF21</f>
        <v/>
      </c>
      <c r="AG22" s="67">
        <f>AG20-AG21</f>
        <v/>
      </c>
      <c r="AH22" s="67">
        <f>AH20-AH21</f>
        <v/>
      </c>
      <c r="AI22" s="67">
        <f>AI20-AI21</f>
        <v/>
      </c>
      <c r="AJ22" s="67">
        <f>AJ20-AJ21</f>
        <v/>
      </c>
      <c r="AK22" s="67">
        <f>AK20-AK21</f>
        <v/>
      </c>
      <c r="AL22" s="67">
        <f>AL20-AL21</f>
        <v/>
      </c>
      <c r="AM22" s="67">
        <f>AM20-AM21</f>
        <v/>
      </c>
      <c r="AN22" s="67">
        <f>AN20-AN21</f>
        <v/>
      </c>
      <c r="AO22" s="67">
        <f>AO20-AO21</f>
        <v/>
      </c>
      <c r="AP22" s="67">
        <f>AP20-AP21</f>
        <v/>
      </c>
      <c r="AQ22" s="67">
        <f>AQ20-AQ21</f>
        <v/>
      </c>
      <c r="AR22" s="67">
        <f>AR20-AR21</f>
        <v/>
      </c>
      <c r="AS22" s="67">
        <f>AS20-AS21</f>
        <v/>
      </c>
      <c r="AT22" s="67">
        <f>AT20-AT21</f>
        <v/>
      </c>
      <c r="AU22" s="67">
        <f>AU20-AU21</f>
        <v/>
      </c>
      <c r="AV22" s="67">
        <f>AV20-AV21</f>
        <v/>
      </c>
      <c r="AW22" s="67">
        <f>AW20-AW21</f>
        <v/>
      </c>
      <c r="AX22" s="67">
        <f>AX20-AX21</f>
        <v/>
      </c>
      <c r="AY22" s="67">
        <f>AY20-AY21</f>
        <v/>
      </c>
      <c r="AZ22" s="67">
        <f>AZ20-AZ21</f>
        <v/>
      </c>
      <c r="BA22" s="67">
        <f>BA20-BA21</f>
        <v/>
      </c>
      <c r="BB22" s="67">
        <f>BB20-BB21</f>
        <v/>
      </c>
      <c r="BC22" s="67">
        <f>BC20-BC21</f>
        <v/>
      </c>
      <c r="BD22" s="67">
        <f>BD20-BD21</f>
        <v/>
      </c>
      <c r="BE22" s="67">
        <f>BE20-BE21</f>
        <v/>
      </c>
      <c r="BF22" s="67">
        <f>BF20-BF21</f>
        <v/>
      </c>
      <c r="BG22" s="67">
        <f>BG20-BG21</f>
        <v/>
      </c>
      <c r="BH22" s="67">
        <f>BH20-BH21</f>
        <v/>
      </c>
      <c r="BI22" s="67">
        <f>BI20-BI21</f>
        <v/>
      </c>
      <c r="BJ22" s="67">
        <f>BJ20-BJ21</f>
        <v/>
      </c>
      <c r="BK22" s="67">
        <f>BK20-BK21</f>
        <v/>
      </c>
      <c r="BL22" s="67">
        <f>BL20-BL21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/>
    <row r="24" ht="22" customHeight="1">
      <c r="A24" s="41" t="inlineStr">
        <is>
          <t xml:space="preserve">  КВАРТАЛЬНАЯ УПЛАТА (кассовый график) → Баланс/Cash Flow</t>
        </is>
      </c>
    </row>
    <row r="25">
      <c r="A25" s="42" t="inlineStr">
        <is>
          <t xml:space="preserve">    Налог на прибыль — уплата (за прошлый квартал)</t>
        </is>
      </c>
      <c r="B25" s="43" t="inlineStr">
        <is>
          <t>млн ₽</t>
        </is>
      </c>
      <c r="C25" s="53">
        <f>SUM(BN25:BR25)</f>
        <v/>
      </c>
      <c r="D25" s="45" t="inlineStr"/>
      <c r="E25" s="53">
        <f>0</f>
        <v/>
      </c>
      <c r="F25" s="53">
        <f>0</f>
        <v/>
      </c>
      <c r="G25" s="53">
        <f>0</f>
        <v/>
      </c>
      <c r="H25" s="53">
        <f>SUM(E16:G16)</f>
        <v/>
      </c>
      <c r="I25" s="53">
        <f>0</f>
        <v/>
      </c>
      <c r="J25" s="53">
        <f>0</f>
        <v/>
      </c>
      <c r="K25" s="53">
        <f>SUM(H16:J16)</f>
        <v/>
      </c>
      <c r="L25" s="53">
        <f>0</f>
        <v/>
      </c>
      <c r="M25" s="53">
        <f>0</f>
        <v/>
      </c>
      <c r="N25" s="53">
        <f>SUM(K16:M16)</f>
        <v/>
      </c>
      <c r="O25" s="53">
        <f>0</f>
        <v/>
      </c>
      <c r="P25" s="53">
        <f>0</f>
        <v/>
      </c>
      <c r="Q25" s="53">
        <f>SUM(N16:P16)</f>
        <v/>
      </c>
      <c r="R25" s="53">
        <f>0</f>
        <v/>
      </c>
      <c r="S25" s="53">
        <f>0</f>
        <v/>
      </c>
      <c r="T25" s="53">
        <f>SUM(Q16:S16)</f>
        <v/>
      </c>
      <c r="U25" s="53">
        <f>0</f>
        <v/>
      </c>
      <c r="V25" s="53">
        <f>0</f>
        <v/>
      </c>
      <c r="W25" s="53">
        <f>SUM(T16:V16)</f>
        <v/>
      </c>
      <c r="X25" s="53">
        <f>0</f>
        <v/>
      </c>
      <c r="Y25" s="53">
        <f>0</f>
        <v/>
      </c>
      <c r="Z25" s="53">
        <f>SUM(W16:Y16)</f>
        <v/>
      </c>
      <c r="AA25" s="53">
        <f>0</f>
        <v/>
      </c>
      <c r="AB25" s="53">
        <f>0</f>
        <v/>
      </c>
      <c r="AC25" s="53">
        <f>SUM(Z16:AB16)</f>
        <v/>
      </c>
      <c r="AD25" s="53">
        <f>0</f>
        <v/>
      </c>
      <c r="AE25" s="53">
        <f>0</f>
        <v/>
      </c>
      <c r="AF25" s="53">
        <f>SUM(AC16:AE16)</f>
        <v/>
      </c>
      <c r="AG25" s="53">
        <f>0</f>
        <v/>
      </c>
      <c r="AH25" s="53">
        <f>0</f>
        <v/>
      </c>
      <c r="AI25" s="53">
        <f>SUM(AF16:AH16)</f>
        <v/>
      </c>
      <c r="AJ25" s="53">
        <f>0</f>
        <v/>
      </c>
      <c r="AK25" s="53">
        <f>0</f>
        <v/>
      </c>
      <c r="AL25" s="53">
        <f>SUM(AI16:AK16)</f>
        <v/>
      </c>
      <c r="AM25" s="53">
        <f>0</f>
        <v/>
      </c>
      <c r="AN25" s="53">
        <f>0</f>
        <v/>
      </c>
      <c r="AO25" s="53">
        <f>SUM(AL16:AN16)</f>
        <v/>
      </c>
      <c r="AP25" s="53">
        <f>0</f>
        <v/>
      </c>
      <c r="AQ25" s="53">
        <f>0</f>
        <v/>
      </c>
      <c r="AR25" s="53">
        <f>SUM(AO16:AQ16)</f>
        <v/>
      </c>
      <c r="AS25" s="53">
        <f>0</f>
        <v/>
      </c>
      <c r="AT25" s="53">
        <f>0</f>
        <v/>
      </c>
      <c r="AU25" s="53">
        <f>SUM(AR16:AT16)</f>
        <v/>
      </c>
      <c r="AV25" s="53">
        <f>0</f>
        <v/>
      </c>
      <c r="AW25" s="53">
        <f>0</f>
        <v/>
      </c>
      <c r="AX25" s="53">
        <f>SUM(AU16:AW16)</f>
        <v/>
      </c>
      <c r="AY25" s="53">
        <f>0</f>
        <v/>
      </c>
      <c r="AZ25" s="53">
        <f>0</f>
        <v/>
      </c>
      <c r="BA25" s="53">
        <f>SUM(AX16:AZ16)</f>
        <v/>
      </c>
      <c r="BB25" s="53">
        <f>0</f>
        <v/>
      </c>
      <c r="BC25" s="53">
        <f>0</f>
        <v/>
      </c>
      <c r="BD25" s="53">
        <f>SUM(BA16:BC16)</f>
        <v/>
      </c>
      <c r="BE25" s="53">
        <f>0</f>
        <v/>
      </c>
      <c r="BF25" s="53">
        <f>0</f>
        <v/>
      </c>
      <c r="BG25" s="53">
        <f>SUM(BD16:BF16)</f>
        <v/>
      </c>
      <c r="BH25" s="53">
        <f>0</f>
        <v/>
      </c>
      <c r="BI25" s="53">
        <f>0</f>
        <v/>
      </c>
      <c r="BJ25" s="53">
        <f>SUM(BG16:BI16)</f>
        <v/>
      </c>
      <c r="BK25" s="53">
        <f>0</f>
        <v/>
      </c>
      <c r="BL25" s="53">
        <f>0</f>
        <v/>
      </c>
      <c r="BN25" s="53">
        <f>SUM(E25:P25)</f>
        <v/>
      </c>
      <c r="BO25" s="53">
        <f>SUM(Q25:AB25)</f>
        <v/>
      </c>
      <c r="BP25" s="53">
        <f>SUM(AC25:AN25)</f>
        <v/>
      </c>
      <c r="BQ25" s="53">
        <f>SUM(AO25:AZ25)</f>
        <v/>
      </c>
      <c r="BR25" s="53">
        <f>SUM(BA25:BL25)</f>
        <v/>
      </c>
    </row>
    <row r="26">
      <c r="A26" s="42" t="inlineStr">
        <is>
          <t xml:space="preserve">    Налог на прибыль к уплате (накопл. начислено − уплачено)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79">
        <f>E16-E25</f>
        <v/>
      </c>
      <c r="F26" s="79">
        <f>E26+F16-F25</f>
        <v/>
      </c>
      <c r="G26" s="79">
        <f>F26+G16-G25</f>
        <v/>
      </c>
      <c r="H26" s="79">
        <f>G26+H16-H25</f>
        <v/>
      </c>
      <c r="I26" s="79">
        <f>H26+I16-I25</f>
        <v/>
      </c>
      <c r="J26" s="79">
        <f>I26+J16-J25</f>
        <v/>
      </c>
      <c r="K26" s="79">
        <f>J26+K16-K25</f>
        <v/>
      </c>
      <c r="L26" s="79">
        <f>K26+L16-L25</f>
        <v/>
      </c>
      <c r="M26" s="79">
        <f>L26+M16-M25</f>
        <v/>
      </c>
      <c r="N26" s="79">
        <f>M26+N16-N25</f>
        <v/>
      </c>
      <c r="O26" s="79">
        <f>N26+O16-O25</f>
        <v/>
      </c>
      <c r="P26" s="79">
        <f>O26+P16-P25</f>
        <v/>
      </c>
      <c r="Q26" s="79">
        <f>P26+Q16-Q25</f>
        <v/>
      </c>
      <c r="R26" s="79">
        <f>Q26+R16-R25</f>
        <v/>
      </c>
      <c r="S26" s="79">
        <f>R26+S16-S25</f>
        <v/>
      </c>
      <c r="T26" s="79">
        <f>S26+T16-T25</f>
        <v/>
      </c>
      <c r="U26" s="79">
        <f>T26+U16-U25</f>
        <v/>
      </c>
      <c r="V26" s="79">
        <f>U26+V16-V25</f>
        <v/>
      </c>
      <c r="W26" s="79">
        <f>V26+W16-W25</f>
        <v/>
      </c>
      <c r="X26" s="79">
        <f>W26+X16-X25</f>
        <v/>
      </c>
      <c r="Y26" s="79">
        <f>X26+Y16-Y25</f>
        <v/>
      </c>
      <c r="Z26" s="79">
        <f>Y26+Z16-Z25</f>
        <v/>
      </c>
      <c r="AA26" s="79">
        <f>Z26+AA16-AA25</f>
        <v/>
      </c>
      <c r="AB26" s="79">
        <f>AA26+AB16-AB25</f>
        <v/>
      </c>
      <c r="AC26" s="79">
        <f>AB26+AC16-AC25</f>
        <v/>
      </c>
      <c r="AD26" s="79">
        <f>AC26+AD16-AD25</f>
        <v/>
      </c>
      <c r="AE26" s="79">
        <f>AD26+AE16-AE25</f>
        <v/>
      </c>
      <c r="AF26" s="79">
        <f>AE26+AF16-AF25</f>
        <v/>
      </c>
      <c r="AG26" s="79">
        <f>AF26+AG16-AG25</f>
        <v/>
      </c>
      <c r="AH26" s="79">
        <f>AG26+AH16-AH25</f>
        <v/>
      </c>
      <c r="AI26" s="79">
        <f>AH26+AI16-AI25</f>
        <v/>
      </c>
      <c r="AJ26" s="79">
        <f>AI26+AJ16-AJ25</f>
        <v/>
      </c>
      <c r="AK26" s="79">
        <f>AJ26+AK16-AK25</f>
        <v/>
      </c>
      <c r="AL26" s="79">
        <f>AK26+AL16-AL25</f>
        <v/>
      </c>
      <c r="AM26" s="79">
        <f>AL26+AM16-AM25</f>
        <v/>
      </c>
      <c r="AN26" s="79">
        <f>AM26+AN16-AN25</f>
        <v/>
      </c>
      <c r="AO26" s="79">
        <f>AN26+AO16-AO25</f>
        <v/>
      </c>
      <c r="AP26" s="79">
        <f>AO26+AP16-AP25</f>
        <v/>
      </c>
      <c r="AQ26" s="79">
        <f>AP26+AQ16-AQ25</f>
        <v/>
      </c>
      <c r="AR26" s="79">
        <f>AQ26+AR16-AR25</f>
        <v/>
      </c>
      <c r="AS26" s="79">
        <f>AR26+AS16-AS25</f>
        <v/>
      </c>
      <c r="AT26" s="79">
        <f>AS26+AT16-AT25</f>
        <v/>
      </c>
      <c r="AU26" s="79">
        <f>AT26+AU16-AU25</f>
        <v/>
      </c>
      <c r="AV26" s="79">
        <f>AU26+AV16-AV25</f>
        <v/>
      </c>
      <c r="AW26" s="79">
        <f>AV26+AW16-AW25</f>
        <v/>
      </c>
      <c r="AX26" s="79">
        <f>AW26+AX16-AX25</f>
        <v/>
      </c>
      <c r="AY26" s="79">
        <f>AX26+AY16-AY25</f>
        <v/>
      </c>
      <c r="AZ26" s="79">
        <f>AY26+AZ16-AZ25</f>
        <v/>
      </c>
      <c r="BA26" s="79">
        <f>AZ26+BA16-BA25</f>
        <v/>
      </c>
      <c r="BB26" s="79">
        <f>BA26+BB16-BB25</f>
        <v/>
      </c>
      <c r="BC26" s="79">
        <f>BB26+BC16-BC25</f>
        <v/>
      </c>
      <c r="BD26" s="79">
        <f>BC26+BD16-BD25</f>
        <v/>
      </c>
      <c r="BE26" s="79">
        <f>BD26+BE16-BE25</f>
        <v/>
      </c>
      <c r="BF26" s="79">
        <f>BE26+BF16-BF25</f>
        <v/>
      </c>
      <c r="BG26" s="79">
        <f>BF26+BG16-BG25</f>
        <v/>
      </c>
      <c r="BH26" s="79">
        <f>BG26+BH16-BH25</f>
        <v/>
      </c>
      <c r="BI26" s="79">
        <f>BH26+BI16-BI25</f>
        <v/>
      </c>
      <c r="BJ26" s="79">
        <f>BI26+BJ16-BJ25</f>
        <v/>
      </c>
      <c r="BK26" s="79">
        <f>BJ26+BK16-BK25</f>
        <v/>
      </c>
      <c r="BL26" s="79">
        <f>BK26+BL16-BL25</f>
        <v/>
      </c>
      <c r="BN26" s="79">
        <f>P26</f>
        <v/>
      </c>
      <c r="BO26" s="79">
        <f>AB26</f>
        <v/>
      </c>
      <c r="BP26" s="79">
        <f>AN26</f>
        <v/>
      </c>
      <c r="BQ26" s="79">
        <f>AZ26</f>
        <v/>
      </c>
      <c r="BR26" s="79">
        <f>BL26</f>
        <v/>
      </c>
    </row>
    <row r="27">
      <c r="A27" s="42" t="inlineStr">
        <is>
          <t xml:space="preserve">    НДС — уплата (за прошлый квартал; только если позиция &gt; 0)</t>
        </is>
      </c>
      <c r="B27" s="43" t="inlineStr">
        <is>
          <t>млн ₽</t>
        </is>
      </c>
      <c r="C27" s="53">
        <f>SUM(BN27:BR27)</f>
        <v/>
      </c>
      <c r="D27" s="45" t="inlineStr"/>
      <c r="E27" s="53">
        <f>0</f>
        <v/>
      </c>
      <c r="F27" s="53">
        <f>0</f>
        <v/>
      </c>
      <c r="G27" s="53">
        <f>0</f>
        <v/>
      </c>
      <c r="H27" s="53">
        <f>MAX(0,G28)</f>
        <v/>
      </c>
      <c r="I27" s="53">
        <f>0</f>
        <v/>
      </c>
      <c r="J27" s="53">
        <f>0</f>
        <v/>
      </c>
      <c r="K27" s="53">
        <f>MAX(0,J28)</f>
        <v/>
      </c>
      <c r="L27" s="53">
        <f>0</f>
        <v/>
      </c>
      <c r="M27" s="53">
        <f>0</f>
        <v/>
      </c>
      <c r="N27" s="53">
        <f>MAX(0,M28)</f>
        <v/>
      </c>
      <c r="O27" s="53">
        <f>0</f>
        <v/>
      </c>
      <c r="P27" s="53">
        <f>0</f>
        <v/>
      </c>
      <c r="Q27" s="53">
        <f>MAX(0,P28)</f>
        <v/>
      </c>
      <c r="R27" s="53">
        <f>0</f>
        <v/>
      </c>
      <c r="S27" s="53">
        <f>0</f>
        <v/>
      </c>
      <c r="T27" s="53">
        <f>MAX(0,S28)</f>
        <v/>
      </c>
      <c r="U27" s="53">
        <f>0</f>
        <v/>
      </c>
      <c r="V27" s="53">
        <f>0</f>
        <v/>
      </c>
      <c r="W27" s="53">
        <f>MAX(0,V28)</f>
        <v/>
      </c>
      <c r="X27" s="53">
        <f>0</f>
        <v/>
      </c>
      <c r="Y27" s="53">
        <f>0</f>
        <v/>
      </c>
      <c r="Z27" s="53">
        <f>MAX(0,Y28)</f>
        <v/>
      </c>
      <c r="AA27" s="53">
        <f>0</f>
        <v/>
      </c>
      <c r="AB27" s="53">
        <f>0</f>
        <v/>
      </c>
      <c r="AC27" s="53">
        <f>MAX(0,AB28)</f>
        <v/>
      </c>
      <c r="AD27" s="53">
        <f>0</f>
        <v/>
      </c>
      <c r="AE27" s="53">
        <f>0</f>
        <v/>
      </c>
      <c r="AF27" s="53">
        <f>MAX(0,AE28)</f>
        <v/>
      </c>
      <c r="AG27" s="53">
        <f>0</f>
        <v/>
      </c>
      <c r="AH27" s="53">
        <f>0</f>
        <v/>
      </c>
      <c r="AI27" s="53">
        <f>MAX(0,AH28)</f>
        <v/>
      </c>
      <c r="AJ27" s="53">
        <f>0</f>
        <v/>
      </c>
      <c r="AK27" s="53">
        <f>0</f>
        <v/>
      </c>
      <c r="AL27" s="53">
        <f>MAX(0,AK28)</f>
        <v/>
      </c>
      <c r="AM27" s="53">
        <f>0</f>
        <v/>
      </c>
      <c r="AN27" s="53">
        <f>0</f>
        <v/>
      </c>
      <c r="AO27" s="53">
        <f>MAX(0,AN28)</f>
        <v/>
      </c>
      <c r="AP27" s="53">
        <f>0</f>
        <v/>
      </c>
      <c r="AQ27" s="53">
        <f>0</f>
        <v/>
      </c>
      <c r="AR27" s="53">
        <f>MAX(0,AQ28)</f>
        <v/>
      </c>
      <c r="AS27" s="53">
        <f>0</f>
        <v/>
      </c>
      <c r="AT27" s="53">
        <f>0</f>
        <v/>
      </c>
      <c r="AU27" s="53">
        <f>MAX(0,AT28)</f>
        <v/>
      </c>
      <c r="AV27" s="53">
        <f>0</f>
        <v/>
      </c>
      <c r="AW27" s="53">
        <f>0</f>
        <v/>
      </c>
      <c r="AX27" s="53">
        <f>MAX(0,AW28)</f>
        <v/>
      </c>
      <c r="AY27" s="53">
        <f>0</f>
        <v/>
      </c>
      <c r="AZ27" s="53">
        <f>0</f>
        <v/>
      </c>
      <c r="BA27" s="53">
        <f>MAX(0,AZ28)</f>
        <v/>
      </c>
      <c r="BB27" s="53">
        <f>0</f>
        <v/>
      </c>
      <c r="BC27" s="53">
        <f>0</f>
        <v/>
      </c>
      <c r="BD27" s="53">
        <f>MAX(0,BC28)</f>
        <v/>
      </c>
      <c r="BE27" s="53">
        <f>0</f>
        <v/>
      </c>
      <c r="BF27" s="53">
        <f>0</f>
        <v/>
      </c>
      <c r="BG27" s="53">
        <f>MAX(0,BF28)</f>
        <v/>
      </c>
      <c r="BH27" s="53">
        <f>0</f>
        <v/>
      </c>
      <c r="BI27" s="53">
        <f>0</f>
        <v/>
      </c>
      <c r="BJ27" s="53">
        <f>MAX(0,BI28)</f>
        <v/>
      </c>
      <c r="BK27" s="53">
        <f>0</f>
        <v/>
      </c>
      <c r="BL27" s="53">
        <f>0</f>
        <v/>
      </c>
      <c r="BN27" s="53">
        <f>SUM(E27:P27)</f>
        <v/>
      </c>
      <c r="BO27" s="53">
        <f>SUM(Q27:AB27)</f>
        <v/>
      </c>
      <c r="BP27" s="53">
        <f>SUM(AC27:AN27)</f>
        <v/>
      </c>
      <c r="BQ27" s="53">
        <f>SUM(AO27:AZ27)</f>
        <v/>
      </c>
      <c r="BR27" s="53">
        <f>SUM(BA27:BL27)</f>
        <v/>
      </c>
    </row>
    <row r="28">
      <c r="A28" s="42" t="inlineStr">
        <is>
          <t xml:space="preserve">    НДС — позиция нарастающим (+ к уплате / − к возмещению)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79">
        <f>E22-E27</f>
        <v/>
      </c>
      <c r="F28" s="79">
        <f>E28+F22-F27</f>
        <v/>
      </c>
      <c r="G28" s="79">
        <f>F28+G22-G27</f>
        <v/>
      </c>
      <c r="H28" s="79">
        <f>G28+H22-H27</f>
        <v/>
      </c>
      <c r="I28" s="79">
        <f>H28+I22-I27</f>
        <v/>
      </c>
      <c r="J28" s="79">
        <f>I28+J22-J27</f>
        <v/>
      </c>
      <c r="K28" s="79">
        <f>J28+K22-K27</f>
        <v/>
      </c>
      <c r="L28" s="79">
        <f>K28+L22-L27</f>
        <v/>
      </c>
      <c r="M28" s="79">
        <f>L28+M22-M27</f>
        <v/>
      </c>
      <c r="N28" s="79">
        <f>M28+N22-N27</f>
        <v/>
      </c>
      <c r="O28" s="79">
        <f>N28+O22-O27</f>
        <v/>
      </c>
      <c r="P28" s="79">
        <f>O28+P22-P27</f>
        <v/>
      </c>
      <c r="Q28" s="79">
        <f>P28+Q22-Q27</f>
        <v/>
      </c>
      <c r="R28" s="79">
        <f>Q28+R22-R27</f>
        <v/>
      </c>
      <c r="S28" s="79">
        <f>R28+S22-S27</f>
        <v/>
      </c>
      <c r="T28" s="79">
        <f>S28+T22-T27</f>
        <v/>
      </c>
      <c r="U28" s="79">
        <f>T28+U22-U27</f>
        <v/>
      </c>
      <c r="V28" s="79">
        <f>U28+V22-V27</f>
        <v/>
      </c>
      <c r="W28" s="79">
        <f>V28+W22-W27</f>
        <v/>
      </c>
      <c r="X28" s="79">
        <f>W28+X22-X27</f>
        <v/>
      </c>
      <c r="Y28" s="79">
        <f>X28+Y22-Y27</f>
        <v/>
      </c>
      <c r="Z28" s="79">
        <f>Y28+Z22-Z27</f>
        <v/>
      </c>
      <c r="AA28" s="79">
        <f>Z28+AA22-AA27</f>
        <v/>
      </c>
      <c r="AB28" s="79">
        <f>AA28+AB22-AB27</f>
        <v/>
      </c>
      <c r="AC28" s="79">
        <f>AB28+AC22-AC27</f>
        <v/>
      </c>
      <c r="AD28" s="79">
        <f>AC28+AD22-AD27</f>
        <v/>
      </c>
      <c r="AE28" s="79">
        <f>AD28+AE22-AE27</f>
        <v/>
      </c>
      <c r="AF28" s="79">
        <f>AE28+AF22-AF27</f>
        <v/>
      </c>
      <c r="AG28" s="79">
        <f>AF28+AG22-AG27</f>
        <v/>
      </c>
      <c r="AH28" s="79">
        <f>AG28+AH22-AH27</f>
        <v/>
      </c>
      <c r="AI28" s="79">
        <f>AH28+AI22-AI27</f>
        <v/>
      </c>
      <c r="AJ28" s="79">
        <f>AI28+AJ22-AJ27</f>
        <v/>
      </c>
      <c r="AK28" s="79">
        <f>AJ28+AK22-AK27</f>
        <v/>
      </c>
      <c r="AL28" s="79">
        <f>AK28+AL22-AL27</f>
        <v/>
      </c>
      <c r="AM28" s="79">
        <f>AL28+AM22-AM27</f>
        <v/>
      </c>
      <c r="AN28" s="79">
        <f>AM28+AN22-AN27</f>
        <v/>
      </c>
      <c r="AO28" s="79">
        <f>AN28+AO22-AO27</f>
        <v/>
      </c>
      <c r="AP28" s="79">
        <f>AO28+AP22-AP27</f>
        <v/>
      </c>
      <c r="AQ28" s="79">
        <f>AP28+AQ22-AQ27</f>
        <v/>
      </c>
      <c r="AR28" s="79">
        <f>AQ28+AR22-AR27</f>
        <v/>
      </c>
      <c r="AS28" s="79">
        <f>AR28+AS22-AS27</f>
        <v/>
      </c>
      <c r="AT28" s="79">
        <f>AS28+AT22-AT27</f>
        <v/>
      </c>
      <c r="AU28" s="79">
        <f>AT28+AU22-AU27</f>
        <v/>
      </c>
      <c r="AV28" s="79">
        <f>AU28+AV22-AV27</f>
        <v/>
      </c>
      <c r="AW28" s="79">
        <f>AV28+AW22-AW27</f>
        <v/>
      </c>
      <c r="AX28" s="79">
        <f>AW28+AX22-AX27</f>
        <v/>
      </c>
      <c r="AY28" s="79">
        <f>AX28+AY22-AY27</f>
        <v/>
      </c>
      <c r="AZ28" s="79">
        <f>AY28+AZ22-AZ27</f>
        <v/>
      </c>
      <c r="BA28" s="79">
        <f>AZ28+BA22-BA27</f>
        <v/>
      </c>
      <c r="BB28" s="79">
        <f>BA28+BB22-BB27</f>
        <v/>
      </c>
      <c r="BC28" s="79">
        <f>BB28+BC22-BC27</f>
        <v/>
      </c>
      <c r="BD28" s="79">
        <f>BC28+BD22-BD27</f>
        <v/>
      </c>
      <c r="BE28" s="79">
        <f>BD28+BE22-BE27</f>
        <v/>
      </c>
      <c r="BF28" s="79">
        <f>BE28+BF22-BF27</f>
        <v/>
      </c>
      <c r="BG28" s="79">
        <f>BF28+BG22-BG27</f>
        <v/>
      </c>
      <c r="BH28" s="79">
        <f>BG28+BH22-BH27</f>
        <v/>
      </c>
      <c r="BI28" s="79">
        <f>BH28+BI22-BI27</f>
        <v/>
      </c>
      <c r="BJ28" s="79">
        <f>BI28+BJ22-BJ27</f>
        <v/>
      </c>
      <c r="BK28" s="79">
        <f>BJ28+BK22-BK27</f>
        <v/>
      </c>
      <c r="BL28" s="79">
        <f>BK28+BL22-BL27</f>
        <v/>
      </c>
      <c r="BN28" s="79">
        <f>P28</f>
        <v/>
      </c>
      <c r="BO28" s="79">
        <f>AB28</f>
        <v/>
      </c>
      <c r="BP28" s="79">
        <f>AN28</f>
        <v/>
      </c>
      <c r="BQ28" s="79">
        <f>AZ28</f>
        <v/>
      </c>
      <c r="BR28" s="79">
        <f>BL28</f>
        <v/>
      </c>
    </row>
    <row r="29">
      <c r="A29" s="80" t="inlineStr">
        <is>
          <t xml:space="preserve">    = Налоги к уплате ИТОГО, нетто-позиция (− = НДС к возмещению) → Баланс</t>
        </is>
      </c>
      <c r="B29" s="81" t="inlineStr">
        <is>
          <t>млн ₽</t>
        </is>
      </c>
      <c r="C29" s="48" t="inlineStr">
        <is>
          <t>—</t>
        </is>
      </c>
      <c r="D29" s="45" t="inlineStr"/>
      <c r="E29" s="82">
        <f>E26+E28</f>
        <v/>
      </c>
      <c r="F29" s="82">
        <f>F26+F28</f>
        <v/>
      </c>
      <c r="G29" s="82">
        <f>G26+G28</f>
        <v/>
      </c>
      <c r="H29" s="82">
        <f>H26+H28</f>
        <v/>
      </c>
      <c r="I29" s="82">
        <f>I26+I28</f>
        <v/>
      </c>
      <c r="J29" s="82">
        <f>J26+J28</f>
        <v/>
      </c>
      <c r="K29" s="82">
        <f>K26+K28</f>
        <v/>
      </c>
      <c r="L29" s="82">
        <f>L26+L28</f>
        <v/>
      </c>
      <c r="M29" s="82">
        <f>M26+M28</f>
        <v/>
      </c>
      <c r="N29" s="82">
        <f>N26+N28</f>
        <v/>
      </c>
      <c r="O29" s="82">
        <f>O26+O28</f>
        <v/>
      </c>
      <c r="P29" s="82">
        <f>P26+P28</f>
        <v/>
      </c>
      <c r="Q29" s="82">
        <f>Q26+Q28</f>
        <v/>
      </c>
      <c r="R29" s="82">
        <f>R26+R28</f>
        <v/>
      </c>
      <c r="S29" s="82">
        <f>S26+S28</f>
        <v/>
      </c>
      <c r="T29" s="82">
        <f>T26+T28</f>
        <v/>
      </c>
      <c r="U29" s="82">
        <f>U26+U28</f>
        <v/>
      </c>
      <c r="V29" s="82">
        <f>V26+V28</f>
        <v/>
      </c>
      <c r="W29" s="82">
        <f>W26+W28</f>
        <v/>
      </c>
      <c r="X29" s="82">
        <f>X26+X28</f>
        <v/>
      </c>
      <c r="Y29" s="82">
        <f>Y26+Y28</f>
        <v/>
      </c>
      <c r="Z29" s="82">
        <f>Z26+Z28</f>
        <v/>
      </c>
      <c r="AA29" s="82">
        <f>AA26+AA28</f>
        <v/>
      </c>
      <c r="AB29" s="82">
        <f>AB26+AB28</f>
        <v/>
      </c>
      <c r="AC29" s="82">
        <f>AC26+AC28</f>
        <v/>
      </c>
      <c r="AD29" s="82">
        <f>AD26+AD28</f>
        <v/>
      </c>
      <c r="AE29" s="82">
        <f>AE26+AE28</f>
        <v/>
      </c>
      <c r="AF29" s="82">
        <f>AF26+AF28</f>
        <v/>
      </c>
      <c r="AG29" s="82">
        <f>AG26+AG28</f>
        <v/>
      </c>
      <c r="AH29" s="82">
        <f>AH26+AH28</f>
        <v/>
      </c>
      <c r="AI29" s="82">
        <f>AI26+AI28</f>
        <v/>
      </c>
      <c r="AJ29" s="82">
        <f>AJ26+AJ28</f>
        <v/>
      </c>
      <c r="AK29" s="82">
        <f>AK26+AK28</f>
        <v/>
      </c>
      <c r="AL29" s="82">
        <f>AL26+AL28</f>
        <v/>
      </c>
      <c r="AM29" s="82">
        <f>AM26+AM28</f>
        <v/>
      </c>
      <c r="AN29" s="82">
        <f>AN26+AN28</f>
        <v/>
      </c>
      <c r="AO29" s="82">
        <f>AO26+AO28</f>
        <v/>
      </c>
      <c r="AP29" s="82">
        <f>AP26+AP28</f>
        <v/>
      </c>
      <c r="AQ29" s="82">
        <f>AQ26+AQ28</f>
        <v/>
      </c>
      <c r="AR29" s="82">
        <f>AR26+AR28</f>
        <v/>
      </c>
      <c r="AS29" s="82">
        <f>AS26+AS28</f>
        <v/>
      </c>
      <c r="AT29" s="82">
        <f>AT26+AT28</f>
        <v/>
      </c>
      <c r="AU29" s="82">
        <f>AU26+AU28</f>
        <v/>
      </c>
      <c r="AV29" s="82">
        <f>AV26+AV28</f>
        <v/>
      </c>
      <c r="AW29" s="82">
        <f>AW26+AW28</f>
        <v/>
      </c>
      <c r="AX29" s="82">
        <f>AX26+AX28</f>
        <v/>
      </c>
      <c r="AY29" s="82">
        <f>AY26+AY28</f>
        <v/>
      </c>
      <c r="AZ29" s="82">
        <f>AZ26+AZ28</f>
        <v/>
      </c>
      <c r="BA29" s="82">
        <f>BA26+BA28</f>
        <v/>
      </c>
      <c r="BB29" s="82">
        <f>BB26+BB28</f>
        <v/>
      </c>
      <c r="BC29" s="82">
        <f>BC26+BC28</f>
        <v/>
      </c>
      <c r="BD29" s="82">
        <f>BD26+BD28</f>
        <v/>
      </c>
      <c r="BE29" s="82">
        <f>BE26+BE28</f>
        <v/>
      </c>
      <c r="BF29" s="82">
        <f>BF26+BF28</f>
        <v/>
      </c>
      <c r="BG29" s="82">
        <f>BG26+BG28</f>
        <v/>
      </c>
      <c r="BH29" s="82">
        <f>BH26+BH28</f>
        <v/>
      </c>
      <c r="BI29" s="82">
        <f>BI26+BI28</f>
        <v/>
      </c>
      <c r="BJ29" s="82">
        <f>BJ26+BJ28</f>
        <v/>
      </c>
      <c r="BK29" s="82">
        <f>BK26+BK28</f>
        <v/>
      </c>
      <c r="BL29" s="82">
        <f>BL26+BL28</f>
        <v/>
      </c>
      <c r="BN29" s="82">
        <f>P29</f>
        <v/>
      </c>
      <c r="BO29" s="82">
        <f>AB29</f>
        <v/>
      </c>
      <c r="BP29" s="82">
        <f>AN29</f>
        <v/>
      </c>
      <c r="BQ29" s="82">
        <f>AZ29</f>
        <v/>
      </c>
      <c r="BR29" s="82">
        <f>BL29</f>
        <v/>
      </c>
    </row>
    <row r="30"/>
    <row r="31" ht="22" customHeight="1">
      <c r="A31" s="41" t="inlineStr">
        <is>
          <t xml:space="preserve">  СВОДКА НАЛОГОВОЙ НАГРУЗКИ (годовая)</t>
        </is>
      </c>
    </row>
    <row r="32">
      <c r="A32" s="51" t="inlineStr">
        <is>
          <t>ИТОГО налоговая нагрузка (налог + НДС начисленный нетто)</t>
        </is>
      </c>
      <c r="B32" s="52" t="inlineStr">
        <is>
          <t>млн ₽</t>
        </is>
      </c>
      <c r="C32" s="53">
        <f>SUM(BN32:BR32)</f>
        <v/>
      </c>
      <c r="D32" s="45" t="inlineStr"/>
      <c r="E32" s="67">
        <f>E16+E22</f>
        <v/>
      </c>
      <c r="F32" s="67">
        <f>F16+F22</f>
        <v/>
      </c>
      <c r="G32" s="67">
        <f>G16+G22</f>
        <v/>
      </c>
      <c r="H32" s="67">
        <f>H16+H22</f>
        <v/>
      </c>
      <c r="I32" s="67">
        <f>I16+I22</f>
        <v/>
      </c>
      <c r="J32" s="67">
        <f>J16+J22</f>
        <v/>
      </c>
      <c r="K32" s="67">
        <f>K16+K22</f>
        <v/>
      </c>
      <c r="L32" s="67">
        <f>L16+L22</f>
        <v/>
      </c>
      <c r="M32" s="67">
        <f>M16+M22</f>
        <v/>
      </c>
      <c r="N32" s="67">
        <f>N16+N22</f>
        <v/>
      </c>
      <c r="O32" s="67">
        <f>O16+O22</f>
        <v/>
      </c>
      <c r="P32" s="67">
        <f>P16+P22</f>
        <v/>
      </c>
      <c r="Q32" s="67">
        <f>Q16+Q22</f>
        <v/>
      </c>
      <c r="R32" s="67">
        <f>R16+R22</f>
        <v/>
      </c>
      <c r="S32" s="67">
        <f>S16+S22</f>
        <v/>
      </c>
      <c r="T32" s="67">
        <f>T16+T22</f>
        <v/>
      </c>
      <c r="U32" s="67">
        <f>U16+U22</f>
        <v/>
      </c>
      <c r="V32" s="67">
        <f>V16+V22</f>
        <v/>
      </c>
      <c r="W32" s="67">
        <f>W16+W22</f>
        <v/>
      </c>
      <c r="X32" s="67">
        <f>X16+X22</f>
        <v/>
      </c>
      <c r="Y32" s="67">
        <f>Y16+Y22</f>
        <v/>
      </c>
      <c r="Z32" s="67">
        <f>Z16+Z22</f>
        <v/>
      </c>
      <c r="AA32" s="67">
        <f>AA16+AA22</f>
        <v/>
      </c>
      <c r="AB32" s="67">
        <f>AB16+AB22</f>
        <v/>
      </c>
      <c r="AC32" s="67">
        <f>AC16+AC22</f>
        <v/>
      </c>
      <c r="AD32" s="67">
        <f>AD16+AD22</f>
        <v/>
      </c>
      <c r="AE32" s="67">
        <f>AE16+AE22</f>
        <v/>
      </c>
      <c r="AF32" s="67">
        <f>AF16+AF22</f>
        <v/>
      </c>
      <c r="AG32" s="67">
        <f>AG16+AG22</f>
        <v/>
      </c>
      <c r="AH32" s="67">
        <f>AH16+AH22</f>
        <v/>
      </c>
      <c r="AI32" s="67">
        <f>AI16+AI22</f>
        <v/>
      </c>
      <c r="AJ32" s="67">
        <f>AJ16+AJ22</f>
        <v/>
      </c>
      <c r="AK32" s="67">
        <f>AK16+AK22</f>
        <v/>
      </c>
      <c r="AL32" s="67">
        <f>AL16+AL22</f>
        <v/>
      </c>
      <c r="AM32" s="67">
        <f>AM16+AM22</f>
        <v/>
      </c>
      <c r="AN32" s="67">
        <f>AN16+AN22</f>
        <v/>
      </c>
      <c r="AO32" s="67">
        <f>AO16+AO22</f>
        <v/>
      </c>
      <c r="AP32" s="67">
        <f>AP16+AP22</f>
        <v/>
      </c>
      <c r="AQ32" s="67">
        <f>AQ16+AQ22</f>
        <v/>
      </c>
      <c r="AR32" s="67">
        <f>AR16+AR22</f>
        <v/>
      </c>
      <c r="AS32" s="67">
        <f>AS16+AS22</f>
        <v/>
      </c>
      <c r="AT32" s="67">
        <f>AT16+AT22</f>
        <v/>
      </c>
      <c r="AU32" s="67">
        <f>AU16+AU22</f>
        <v/>
      </c>
      <c r="AV32" s="67">
        <f>AV16+AV22</f>
        <v/>
      </c>
      <c r="AW32" s="67">
        <f>AW16+AW22</f>
        <v/>
      </c>
      <c r="AX32" s="67">
        <f>AX16+AX22</f>
        <v/>
      </c>
      <c r="AY32" s="67">
        <f>AY16+AY22</f>
        <v/>
      </c>
      <c r="AZ32" s="67">
        <f>AZ16+AZ22</f>
        <v/>
      </c>
      <c r="BA32" s="67">
        <f>BA16+BA22</f>
        <v/>
      </c>
      <c r="BB32" s="67">
        <f>BB16+BB22</f>
        <v/>
      </c>
      <c r="BC32" s="67">
        <f>BC16+BC22</f>
        <v/>
      </c>
      <c r="BD32" s="67">
        <f>BD16+BD22</f>
        <v/>
      </c>
      <c r="BE32" s="67">
        <f>BE16+BE22</f>
        <v/>
      </c>
      <c r="BF32" s="67">
        <f>BF16+BF22</f>
        <v/>
      </c>
      <c r="BG32" s="67">
        <f>BG16+BG22</f>
        <v/>
      </c>
      <c r="BH32" s="67">
        <f>BH16+BH22</f>
        <v/>
      </c>
      <c r="BI32" s="67">
        <f>BI16+BI22</f>
        <v/>
      </c>
      <c r="BJ32" s="67">
        <f>BJ16+BJ22</f>
        <v/>
      </c>
      <c r="BK32" s="67">
        <f>BK16+BK22</f>
        <v/>
      </c>
      <c r="BL32" s="67">
        <f>BL16+BL22</f>
        <v/>
      </c>
      <c r="BN32" s="53">
        <f>SUM(E32:P32)</f>
        <v/>
      </c>
      <c r="BO32" s="53">
        <f>SUM(Q32:AB32)</f>
        <v/>
      </c>
      <c r="BP32" s="53">
        <f>SUM(AC32:AN32)</f>
        <v/>
      </c>
      <c r="BQ32" s="53">
        <f>SUM(AO32:AZ32)</f>
        <v/>
      </c>
      <c r="BR32" s="53">
        <f>SUM(BA32:BL32)</f>
        <v/>
      </c>
    </row>
    <row r="33">
      <c r="A33" s="42" t="inlineStr">
        <is>
          <t>Налоговая нагрузка % выручки</t>
        </is>
      </c>
      <c r="B33" s="43" t="inlineStr">
        <is>
          <t>%</t>
        </is>
      </c>
      <c r="C33" s="48" t="inlineStr">
        <is>
          <t>—</t>
        </is>
      </c>
      <c r="D33" s="45" t="inlineStr"/>
      <c r="E33" s="42" t="inlineStr"/>
      <c r="F33" s="42" t="inlineStr"/>
      <c r="G33" s="42" t="inlineStr"/>
      <c r="H33" s="42" t="inlineStr"/>
      <c r="I33" s="42" t="inlineStr"/>
      <c r="J33" s="42" t="inlineStr"/>
      <c r="K33" s="42" t="inlineStr"/>
      <c r="L33" s="42" t="inlineStr"/>
      <c r="M33" s="42" t="inlineStr"/>
      <c r="N33" s="42" t="inlineStr"/>
      <c r="O33" s="42" t="inlineStr"/>
      <c r="P33" s="42" t="inlineStr"/>
      <c r="Q33" s="42" t="inlineStr"/>
      <c r="R33" s="42" t="inlineStr"/>
      <c r="S33" s="42" t="inlineStr"/>
      <c r="T33" s="42" t="inlineStr"/>
      <c r="U33" s="42" t="inlineStr"/>
      <c r="V33" s="42" t="inlineStr"/>
      <c r="W33" s="42" t="inlineStr"/>
      <c r="X33" s="42" t="inlineStr"/>
      <c r="Y33" s="42" t="inlineStr"/>
      <c r="Z33" s="42" t="inlineStr"/>
      <c r="AA33" s="42" t="inlineStr"/>
      <c r="AB33" s="42" t="inlineStr"/>
      <c r="AC33" s="42" t="inlineStr"/>
      <c r="AD33" s="42" t="inlineStr"/>
      <c r="AE33" s="42" t="inlineStr"/>
      <c r="AF33" s="42" t="inlineStr"/>
      <c r="AG33" s="42" t="inlineStr"/>
      <c r="AH33" s="42" t="inlineStr"/>
      <c r="AI33" s="42" t="inlineStr"/>
      <c r="AJ33" s="42" t="inlineStr"/>
      <c r="AK33" s="42" t="inlineStr"/>
      <c r="AL33" s="42" t="inlineStr"/>
      <c r="AM33" s="42" t="inlineStr"/>
      <c r="AN33" s="42" t="inlineStr"/>
      <c r="AO33" s="42" t="inlineStr"/>
      <c r="AP33" s="42" t="inlineStr"/>
      <c r="AQ33" s="42" t="inlineStr"/>
      <c r="AR33" s="42" t="inlineStr"/>
      <c r="AS33" s="42" t="inlineStr"/>
      <c r="AT33" s="42" t="inlineStr"/>
      <c r="AU33" s="42" t="inlineStr"/>
      <c r="AV33" s="42" t="inlineStr"/>
      <c r="AW33" s="42" t="inlineStr"/>
      <c r="AX33" s="42" t="inlineStr"/>
      <c r="AY33" s="42" t="inlineStr"/>
      <c r="AZ33" s="42" t="inlineStr"/>
      <c r="BA33" s="42" t="inlineStr"/>
      <c r="BB33" s="42" t="inlineStr"/>
      <c r="BC33" s="42" t="inlineStr"/>
      <c r="BD33" s="42" t="inlineStr"/>
      <c r="BE33" s="42" t="inlineStr"/>
      <c r="BF33" s="42" t="inlineStr"/>
      <c r="BG33" s="42" t="inlineStr"/>
      <c r="BH33" s="42" t="inlineStr"/>
      <c r="BI33" s="42" t="inlineStr"/>
      <c r="BJ33" s="42" t="inlineStr"/>
      <c r="BK33" s="42" t="inlineStr"/>
      <c r="BL33" s="42" t="inlineStr"/>
      <c r="BN33" s="83">
        <f>IFERROR(BN32/'COGS &amp; SGA'!BN6,0)</f>
        <v/>
      </c>
      <c r="BO33" s="83">
        <f>IFERROR(BO32/'COGS &amp; SGA'!BO6,0)</f>
        <v/>
      </c>
      <c r="BP33" s="83">
        <f>IFERROR(BP32/'COGS &amp; SGA'!BP6,0)</f>
        <v/>
      </c>
      <c r="BQ33" s="83">
        <f>IFERROR(BQ32/'COGS &amp; SGA'!BQ6,0)</f>
        <v/>
      </c>
      <c r="BR33" s="83">
        <f>IFERROR(BR32/'COGS &amp; SGA'!BR6,0)</f>
        <v/>
      </c>
    </row>
  </sheetData>
  <mergeCells count="7">
    <mergeCell ref="A24:BR24"/>
    <mergeCell ref="A2:BR2"/>
    <mergeCell ref="A19:BR19"/>
    <mergeCell ref="A5:BR5"/>
    <mergeCell ref="A1:BR1"/>
    <mergeCell ref="A8:BR8"/>
    <mergeCell ref="A31:BR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2026-07-10T13:38:52Z</dcterms:created>
  <dcterms:modified xsi:type="dcterms:W3CDTF">2026-07-10T13:38:53Z</dcterms:modified>
</cp:coreProperties>
</file>